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380" windowHeight="8190" tabRatio="504" activeTab="5"/>
  </bookViews>
  <sheets>
    <sheet name="контроль" sheetId="1" r:id="rId1"/>
    <sheet name="опыт" sheetId="2" r:id="rId2"/>
    <sheet name="оценка" sheetId="3" r:id="rId3"/>
    <sheet name="структ.контроль" sheetId="4" r:id="rId4"/>
    <sheet name="структ.опыт" sheetId="5" r:id="rId5"/>
    <sheet name="Лист2" sheetId="6" r:id="rId6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10" i="5" l="1"/>
  <c r="C9" i="5"/>
  <c r="C7" i="5"/>
  <c r="C10" i="4"/>
  <c r="C9" i="4"/>
  <c r="C7" i="4"/>
  <c r="C3" i="3"/>
  <c r="B3" i="3"/>
  <c r="N49" i="2"/>
  <c r="N46" i="2"/>
  <c r="C45" i="2"/>
  <c r="C8" i="5" s="1"/>
  <c r="U41" i="2"/>
  <c r="E41" i="2"/>
  <c r="P40" i="2"/>
  <c r="P39" i="2"/>
  <c r="X38" i="2"/>
  <c r="Y38" i="2" s="1"/>
  <c r="Q38" i="2"/>
  <c r="N38" i="2"/>
  <c r="O38" i="2" s="1"/>
  <c r="X37" i="2"/>
  <c r="Y37" i="2" s="1"/>
  <c r="Q37" i="2"/>
  <c r="N37" i="2"/>
  <c r="O37" i="2" s="1"/>
  <c r="X36" i="2"/>
  <c r="Y36" i="2" s="1"/>
  <c r="Q36" i="2"/>
  <c r="N36" i="2"/>
  <c r="O36" i="2" s="1"/>
  <c r="X35" i="2"/>
  <c r="Y35" i="2" s="1"/>
  <c r="Q35" i="2"/>
  <c r="N35" i="2"/>
  <c r="O35" i="2" s="1"/>
  <c r="P34" i="2"/>
  <c r="P33" i="2"/>
  <c r="P32" i="2"/>
  <c r="X31" i="2"/>
  <c r="Y31" i="2" s="1"/>
  <c r="Q31" i="2"/>
  <c r="N31" i="2"/>
  <c r="O31" i="2" s="1"/>
  <c r="X30" i="2"/>
  <c r="Y30" i="2" s="1"/>
  <c r="Q30" i="2"/>
  <c r="N30" i="2"/>
  <c r="O30" i="2" s="1"/>
  <c r="P29" i="2"/>
  <c r="X28" i="2"/>
  <c r="Y28" i="2" s="1"/>
  <c r="Q28" i="2"/>
  <c r="N28" i="2"/>
  <c r="O28" i="2" s="1"/>
  <c r="X27" i="2"/>
  <c r="Y27" i="2" s="1"/>
  <c r="Q27" i="2"/>
  <c r="N27" i="2"/>
  <c r="O27" i="2" s="1"/>
  <c r="N26" i="2"/>
  <c r="P26" i="2" s="1"/>
  <c r="P41" i="2" s="1"/>
  <c r="C4" i="3" s="1"/>
  <c r="N25" i="2"/>
  <c r="X24" i="2"/>
  <c r="Y24" i="2" s="1"/>
  <c r="Q24" i="2"/>
  <c r="N24" i="2"/>
  <c r="O24" i="2" s="1"/>
  <c r="X23" i="2"/>
  <c r="Y23" i="2" s="1"/>
  <c r="Q23" i="2"/>
  <c r="S23" i="2" s="1"/>
  <c r="N23" i="2"/>
  <c r="Q22" i="2"/>
  <c r="S22" i="2" s="1"/>
  <c r="N22" i="2"/>
  <c r="N21" i="2"/>
  <c r="P21" i="2" s="1"/>
  <c r="X20" i="2"/>
  <c r="Y20" i="2" s="1"/>
  <c r="Q20" i="2"/>
  <c r="O20" i="2"/>
  <c r="N20" i="2"/>
  <c r="X19" i="2"/>
  <c r="Y19" i="2" s="1"/>
  <c r="Q19" i="2"/>
  <c r="O19" i="2"/>
  <c r="N19" i="2"/>
  <c r="Y18" i="2"/>
  <c r="Y41" i="2" s="1"/>
  <c r="X18" i="2"/>
  <c r="Q18" i="2"/>
  <c r="O18" i="2"/>
  <c r="N18" i="2"/>
  <c r="Q17" i="2"/>
  <c r="Q41" i="2" s="1"/>
  <c r="N17" i="2"/>
  <c r="C61" i="1"/>
  <c r="N49" i="1"/>
  <c r="N47" i="1"/>
  <c r="C46" i="1"/>
  <c r="C8" i="4" s="1"/>
  <c r="U42" i="1"/>
  <c r="E42" i="1"/>
  <c r="P41" i="1"/>
  <c r="P40" i="1"/>
  <c r="X39" i="1"/>
  <c r="Y39" i="1" s="1"/>
  <c r="Q39" i="1"/>
  <c r="N39" i="1"/>
  <c r="O39" i="1" s="1"/>
  <c r="X38" i="1"/>
  <c r="Y38" i="1" s="1"/>
  <c r="Q38" i="1"/>
  <c r="N38" i="1"/>
  <c r="O38" i="1" s="1"/>
  <c r="X37" i="1"/>
  <c r="Y37" i="1" s="1"/>
  <c r="Q37" i="1"/>
  <c r="N37" i="1"/>
  <c r="O37" i="1" s="1"/>
  <c r="X36" i="1"/>
  <c r="Y36" i="1" s="1"/>
  <c r="Q36" i="1"/>
  <c r="N36" i="1"/>
  <c r="O36" i="1" s="1"/>
  <c r="P35" i="1"/>
  <c r="P34" i="1"/>
  <c r="P33" i="1"/>
  <c r="X32" i="1"/>
  <c r="Y32" i="1" s="1"/>
  <c r="Q32" i="1"/>
  <c r="N32" i="1"/>
  <c r="O32" i="1" s="1"/>
  <c r="X31" i="1"/>
  <c r="Y31" i="1" s="1"/>
  <c r="Q31" i="1"/>
  <c r="N31" i="1"/>
  <c r="O31" i="1" s="1"/>
  <c r="P30" i="1"/>
  <c r="X29" i="1"/>
  <c r="Y29" i="1" s="1"/>
  <c r="Q29" i="1"/>
  <c r="N29" i="1"/>
  <c r="O29" i="1" s="1"/>
  <c r="X28" i="1"/>
  <c r="Y28" i="1" s="1"/>
  <c r="Q28" i="1"/>
  <c r="N28" i="1"/>
  <c r="O28" i="1" s="1"/>
  <c r="N27" i="1"/>
  <c r="P27" i="1" s="1"/>
  <c r="N26" i="1"/>
  <c r="P26" i="1" s="1"/>
  <c r="X25" i="1"/>
  <c r="Y25" i="1" s="1"/>
  <c r="Q25" i="1"/>
  <c r="N25" i="1"/>
  <c r="O25" i="1" s="1"/>
  <c r="X24" i="1"/>
  <c r="Y24" i="1" s="1"/>
  <c r="Q24" i="1"/>
  <c r="O24" i="1"/>
  <c r="Y23" i="1"/>
  <c r="Q23" i="1"/>
  <c r="S23" i="1" s="1"/>
  <c r="N23" i="1"/>
  <c r="N22" i="1"/>
  <c r="P22" i="1" s="1"/>
  <c r="X21" i="1"/>
  <c r="Y21" i="1" s="1"/>
  <c r="Q21" i="1"/>
  <c r="O21" i="1"/>
  <c r="N21" i="1"/>
  <c r="X20" i="1"/>
  <c r="Y20" i="1" s="1"/>
  <c r="Q20" i="1"/>
  <c r="O20" i="1"/>
  <c r="N20" i="1"/>
  <c r="X19" i="1"/>
  <c r="Y19" i="1" s="1"/>
  <c r="Q19" i="1"/>
  <c r="O19" i="1"/>
  <c r="N19" i="1"/>
  <c r="X18" i="1"/>
  <c r="Y18" i="1" s="1"/>
  <c r="Y42" i="1" s="1"/>
  <c r="Q18" i="1"/>
  <c r="Q42" i="1" s="1"/>
  <c r="N18" i="1"/>
  <c r="N42" i="1" l="1"/>
  <c r="N43" i="1" s="1"/>
  <c r="O18" i="1"/>
  <c r="C4" i="4"/>
  <c r="S19" i="1"/>
  <c r="S20" i="1"/>
  <c r="S21" i="1"/>
  <c r="S24" i="1"/>
  <c r="S25" i="1"/>
  <c r="P42" i="1"/>
  <c r="S28" i="1"/>
  <c r="S29" i="1"/>
  <c r="S31" i="1"/>
  <c r="S32" i="1"/>
  <c r="S36" i="1"/>
  <c r="S37" i="1"/>
  <c r="S38" i="1"/>
  <c r="S39" i="1"/>
  <c r="AB47" i="1"/>
  <c r="H61" i="1"/>
  <c r="G61" i="1"/>
  <c r="F61" i="1"/>
  <c r="E61" i="1"/>
  <c r="D61" i="1"/>
  <c r="N41" i="2"/>
  <c r="O17" i="2"/>
  <c r="S18" i="2"/>
  <c r="C4" i="5"/>
  <c r="S19" i="2"/>
  <c r="S20" i="2"/>
  <c r="S24" i="2"/>
  <c r="S27" i="2"/>
  <c r="S28" i="2"/>
  <c r="S30" i="2"/>
  <c r="S31" i="2"/>
  <c r="S35" i="2"/>
  <c r="S36" i="2"/>
  <c r="S37" i="2"/>
  <c r="S38" i="2"/>
  <c r="AB46" i="2"/>
  <c r="S41" i="2" l="1"/>
  <c r="R40" i="2"/>
  <c r="T40" i="2" s="1"/>
  <c r="R39" i="2"/>
  <c r="T39" i="2" s="1"/>
  <c r="R34" i="2"/>
  <c r="T34" i="2" s="1"/>
  <c r="R33" i="2"/>
  <c r="T33" i="2" s="1"/>
  <c r="R32" i="2"/>
  <c r="T32" i="2" s="1"/>
  <c r="R29" i="2"/>
  <c r="T29" i="2" s="1"/>
  <c r="R26" i="2"/>
  <c r="R21" i="2"/>
  <c r="T21" i="2" s="1"/>
  <c r="R41" i="1"/>
  <c r="T41" i="1" s="1"/>
  <c r="R40" i="1"/>
  <c r="T40" i="1" s="1"/>
  <c r="R35" i="1"/>
  <c r="T35" i="1" s="1"/>
  <c r="R34" i="1"/>
  <c r="T34" i="1" s="1"/>
  <c r="R33" i="1"/>
  <c r="T33" i="1" s="1"/>
  <c r="R30" i="1"/>
  <c r="T30" i="1" s="1"/>
  <c r="R27" i="1"/>
  <c r="R26" i="1"/>
  <c r="T26" i="1" s="1"/>
  <c r="R22" i="1"/>
  <c r="T22" i="1" s="1"/>
  <c r="O42" i="1"/>
  <c r="B4" i="3" s="1"/>
  <c r="S18" i="1"/>
  <c r="S42" i="1" s="1"/>
  <c r="N51" i="1" s="1"/>
  <c r="N52" i="1" s="1"/>
  <c r="N53" i="1" l="1"/>
  <c r="N54" i="1" s="1"/>
  <c r="V46" i="1"/>
  <c r="V47" i="1" s="1"/>
  <c r="R42" i="1"/>
  <c r="T27" i="1"/>
  <c r="T42" i="1" s="1"/>
  <c r="R41" i="2"/>
  <c r="T26" i="2"/>
  <c r="T41" i="2" s="1"/>
  <c r="N50" i="2"/>
  <c r="N48" i="2"/>
  <c r="N51" i="2" s="1"/>
  <c r="N52" i="2" l="1"/>
  <c r="N53" i="2" s="1"/>
  <c r="V45" i="2"/>
  <c r="V46" i="2" s="1"/>
  <c r="P50" i="2"/>
  <c r="P45" i="2"/>
  <c r="P51" i="1"/>
  <c r="P46" i="1"/>
  <c r="P47" i="1" l="1"/>
  <c r="P48" i="2"/>
  <c r="P46" i="2"/>
  <c r="P51" i="2" s="1"/>
  <c r="P52" i="2" l="1"/>
  <c r="P49" i="1"/>
  <c r="P52" i="1"/>
  <c r="P53" i="1" l="1"/>
  <c r="P54" i="1" s="1"/>
  <c r="X46" i="1"/>
  <c r="P53" i="2"/>
  <c r="X45" i="2" s="1"/>
  <c r="X46" i="2" l="1"/>
  <c r="X47" i="2" s="1"/>
  <c r="X47" i="1"/>
  <c r="X48" i="1" s="1"/>
  <c r="C3" i="4" l="1"/>
  <c r="V49" i="1"/>
  <c r="C3" i="5"/>
  <c r="V48" i="2"/>
  <c r="V49" i="2" l="1"/>
  <c r="C11" i="5"/>
  <c r="V50" i="1"/>
  <c r="C11" i="4"/>
  <c r="C12" i="4" l="1"/>
  <c r="V51" i="1"/>
  <c r="C12" i="5"/>
  <c r="V50" i="2"/>
  <c r="V51" i="2" s="1"/>
  <c r="C5" i="3" l="1"/>
  <c r="V52" i="2"/>
  <c r="Z46" i="2"/>
  <c r="C6" i="3" s="1"/>
  <c r="C7" i="3" s="1"/>
  <c r="C9" i="3" s="1"/>
  <c r="C10" i="3" s="1"/>
  <c r="C13" i="5"/>
  <c r="B5" i="3"/>
  <c r="V52" i="1"/>
  <c r="C13" i="4"/>
  <c r="D13" i="4" l="1"/>
  <c r="D6" i="4"/>
  <c r="D5" i="4"/>
  <c r="D8" i="4"/>
  <c r="D7" i="4"/>
  <c r="D9" i="4"/>
  <c r="D10" i="4"/>
  <c r="D4" i="4"/>
  <c r="D3" i="4"/>
  <c r="D11" i="4"/>
  <c r="D12" i="4"/>
  <c r="V53" i="1"/>
  <c r="Z47" i="1"/>
  <c r="B6" i="3" s="1"/>
  <c r="B7" i="3" s="1"/>
  <c r="B9" i="3" s="1"/>
  <c r="B10" i="3" s="1"/>
  <c r="D13" i="5"/>
  <c r="D6" i="5"/>
  <c r="D5" i="5"/>
  <c r="D8" i="5"/>
  <c r="D7" i="5"/>
  <c r="D9" i="5"/>
  <c r="D10" i="5"/>
  <c r="D4" i="5"/>
  <c r="D3" i="5"/>
  <c r="D11" i="5"/>
  <c r="D12" i="5"/>
</calcChain>
</file>

<file path=xl/sharedStrings.xml><?xml version="1.0" encoding="utf-8"?>
<sst xmlns="http://schemas.openxmlformats.org/spreadsheetml/2006/main" count="769" uniqueCount="182">
  <si>
    <t xml:space="preserve">Приложение </t>
  </si>
  <si>
    <t>опытное поле ФГБОУ ВО КГСХА</t>
  </si>
  <si>
    <t xml:space="preserve">Культура: </t>
  </si>
  <si>
    <t>Продукция</t>
  </si>
  <si>
    <t>Урожайность, ц/га</t>
  </si>
  <si>
    <t>Валовой сбор,шт</t>
  </si>
  <si>
    <t>Технологическая карта</t>
  </si>
  <si>
    <t xml:space="preserve">Сорт: </t>
  </si>
  <si>
    <t xml:space="preserve">Площадь: </t>
  </si>
  <si>
    <t>га</t>
  </si>
  <si>
    <t>основная</t>
  </si>
  <si>
    <t xml:space="preserve">Предшественники: </t>
  </si>
  <si>
    <t>пар занятый ( вико-овсяная смесь)</t>
  </si>
  <si>
    <t>побочная</t>
  </si>
  <si>
    <t>Норма высева: (кассеты)</t>
  </si>
  <si>
    <t>шт</t>
  </si>
  <si>
    <t>Наименование работ</t>
  </si>
  <si>
    <t>Объем работ</t>
  </si>
  <si>
    <t xml:space="preserve">Сроки проведения работ </t>
  </si>
  <si>
    <t>Состав агрегата</t>
  </si>
  <si>
    <t>Количество человек для выполнения нормы</t>
  </si>
  <si>
    <t>Норма выроботки</t>
  </si>
  <si>
    <t>Количество нормосмен в объёме работы</t>
  </si>
  <si>
    <t xml:space="preserve">Затраты труда на весь объем работ, чел.-час </t>
  </si>
  <si>
    <t>Тарифная ставка за норму, руб.</t>
  </si>
  <si>
    <t>Тарифный фонд зарплаты на весь объем работ, руб.</t>
  </si>
  <si>
    <t>Дополн. оплата за качество и срок, руб</t>
  </si>
  <si>
    <t>Повышенная оплата на уборке, руб</t>
  </si>
  <si>
    <t>Горючее</t>
  </si>
  <si>
    <t>Автотранспорт</t>
  </si>
  <si>
    <t>Электроэнергия</t>
  </si>
  <si>
    <t>единицы измерения</t>
  </si>
  <si>
    <t>в физическом выражении</t>
  </si>
  <si>
    <t>эталонная сменная выработка</t>
  </si>
  <si>
    <t>в эталонных усл. га</t>
  </si>
  <si>
    <t>начало работы</t>
  </si>
  <si>
    <t>рабочих дней</t>
  </si>
  <si>
    <t>марка трактора, комбайна, автомашин</t>
  </si>
  <si>
    <t>с.-х. машины</t>
  </si>
  <si>
    <t>трактористов-машинистов</t>
  </si>
  <si>
    <t>прицепщиков и рабочих конно-ручных работ</t>
  </si>
  <si>
    <t>Количество</t>
  </si>
  <si>
    <t>стоимость, руб.</t>
  </si>
  <si>
    <t>количество, т.км</t>
  </si>
  <si>
    <t>количество, кВт•ч.</t>
  </si>
  <si>
    <t>марка</t>
  </si>
  <si>
    <t>количество</t>
  </si>
  <si>
    <t>на еденицу, кг</t>
  </si>
  <si>
    <t>всего, ц</t>
  </si>
  <si>
    <t>А</t>
  </si>
  <si>
    <t>Б</t>
  </si>
  <si>
    <t>Закупка пластиковых кассет 64 яч</t>
  </si>
  <si>
    <t>Закупка семян яблони</t>
  </si>
  <si>
    <t>кг</t>
  </si>
  <si>
    <t xml:space="preserve">Дискование </t>
  </si>
  <si>
    <t>ДТ-75М</t>
  </si>
  <si>
    <t>БДТ-7</t>
  </si>
  <si>
    <t>-</t>
  </si>
  <si>
    <t>Опрыскивание от сорняков</t>
  </si>
  <si>
    <t>МТЗ-80</t>
  </si>
  <si>
    <t>ОПШ-15</t>
  </si>
  <si>
    <t>Погрузка орг. Удобрений</t>
  </si>
  <si>
    <t>т</t>
  </si>
  <si>
    <t>ПЭ-Ф-1А</t>
  </si>
  <si>
    <t>Транспортировка и внесение орг. Удобрений</t>
  </si>
  <si>
    <t>РОУ-6</t>
  </si>
  <si>
    <t>Закладка семян на стратификацию</t>
  </si>
  <si>
    <t>вручную</t>
  </si>
  <si>
    <t xml:space="preserve">Вспашка </t>
  </si>
  <si>
    <t>ПЛН-4-35</t>
  </si>
  <si>
    <t>Погрузка мин Удобрений</t>
  </si>
  <si>
    <t>т.га</t>
  </si>
  <si>
    <t>МТЗ - 80</t>
  </si>
  <si>
    <t>Транспортировка и внесение мин. Удобрений</t>
  </si>
  <si>
    <t>МВУ-5</t>
  </si>
  <si>
    <t>Набивка кассет (64 яч) грунтом</t>
  </si>
  <si>
    <t>Посев семян в кассеты</t>
  </si>
  <si>
    <t>Культивация</t>
  </si>
  <si>
    <t>КПС-4</t>
  </si>
  <si>
    <t>Нарезка гребней</t>
  </si>
  <si>
    <t>КОН-2,8</t>
  </si>
  <si>
    <t>Посадка сеянцев в ручную</t>
  </si>
  <si>
    <t>шт.</t>
  </si>
  <si>
    <t xml:space="preserve"> -</t>
  </si>
  <si>
    <t>Междурядная обработка</t>
  </si>
  <si>
    <t>Обработка сеянцев баковой смесью</t>
  </si>
  <si>
    <t>Ошмыгивание листьев</t>
  </si>
  <si>
    <t xml:space="preserve">     -</t>
  </si>
  <si>
    <t xml:space="preserve">  -</t>
  </si>
  <si>
    <t>Весна следующего года: Прививка вручную</t>
  </si>
  <si>
    <t>Ревизия прививок, снятие ленты</t>
  </si>
  <si>
    <t>1-я междурядная обработка</t>
  </si>
  <si>
    <t>МТЗ -80</t>
  </si>
  <si>
    <t>2-я междурядная обработка</t>
  </si>
  <si>
    <t xml:space="preserve"> - </t>
  </si>
  <si>
    <t>Обработка саженцев баковой смесью</t>
  </si>
  <si>
    <t>Обработка против парши</t>
  </si>
  <si>
    <t>Выкопка саженцев</t>
  </si>
  <si>
    <t>Подготовка к реализации</t>
  </si>
  <si>
    <t>Всего затрат</t>
  </si>
  <si>
    <t>х</t>
  </si>
  <si>
    <t>Затраты на 1 га</t>
  </si>
  <si>
    <t>Внесение удобрений</t>
  </si>
  <si>
    <t>кол-во, ц</t>
  </si>
  <si>
    <t>руб.</t>
  </si>
  <si>
    <t>в руб</t>
  </si>
  <si>
    <t xml:space="preserve">32.. Тарифный фонд зарплаты </t>
  </si>
  <si>
    <t>Трактористы</t>
  </si>
  <si>
    <t>Раб.на ручн.работах</t>
  </si>
  <si>
    <t>Себестоимость 1 шт</t>
  </si>
  <si>
    <t>Затраты на уборку</t>
  </si>
  <si>
    <t xml:space="preserve">28. Удобрения </t>
  </si>
  <si>
    <t>на 1 эт.га</t>
  </si>
  <si>
    <t>всего</t>
  </si>
  <si>
    <t>на весь объм работы</t>
  </si>
  <si>
    <t>40 Итого зарплата с отпусками и доплатой за стаж</t>
  </si>
  <si>
    <t>органические</t>
  </si>
  <si>
    <t>30. Амортизация всего в т. ч.</t>
  </si>
  <si>
    <t>33. Доплаты</t>
  </si>
  <si>
    <t>41.Начисления на зарплату</t>
  </si>
  <si>
    <t>минеральнае</t>
  </si>
  <si>
    <t>трактора и с-х. машины</t>
  </si>
  <si>
    <t xml:space="preserve"> в т.ч. за продукцию</t>
  </si>
  <si>
    <t>42.Вся зарплата с начислениями</t>
  </si>
  <si>
    <t>грунт торфяной</t>
  </si>
  <si>
    <t>прочие</t>
  </si>
  <si>
    <t xml:space="preserve">                               за качество и срок</t>
  </si>
  <si>
    <t>43. Всего прямых затрат</t>
  </si>
  <si>
    <t>29. Средства защиты</t>
  </si>
  <si>
    <t>31.. Текущий ремонт всего, в т.ч.</t>
  </si>
  <si>
    <t xml:space="preserve">                               за классность </t>
  </si>
  <si>
    <t>44. Накладные расходы</t>
  </si>
  <si>
    <t>Баковая смесь</t>
  </si>
  <si>
    <t>34.. Повышеная оплата на уборке</t>
  </si>
  <si>
    <t>45. Производственные затраты</t>
  </si>
  <si>
    <t>Против парши</t>
  </si>
  <si>
    <t>35.. Итого тарифный фонд с доплатами</t>
  </si>
  <si>
    <t>на 1 га</t>
  </si>
  <si>
    <t xml:space="preserve">30. Семена </t>
  </si>
  <si>
    <t>36. Оплата отпуска</t>
  </si>
  <si>
    <t>на 1 саженец</t>
  </si>
  <si>
    <t>31 Пластиковые кассеты</t>
  </si>
  <si>
    <t>37. Доплата за стаж</t>
  </si>
  <si>
    <t>ДТ</t>
  </si>
  <si>
    <t>Ручные работы</t>
  </si>
  <si>
    <t>Тарифный коэфф.</t>
  </si>
  <si>
    <t>Тарифная ставка</t>
  </si>
  <si>
    <t>Механизированные</t>
  </si>
  <si>
    <t>МРОТ</t>
  </si>
  <si>
    <t>Погрузка орг. удобрений</t>
  </si>
  <si>
    <t>Транспортировка и внесение мин. удобрений</t>
  </si>
  <si>
    <t xml:space="preserve">Эффективность производства </t>
  </si>
  <si>
    <t>Показатель</t>
  </si>
  <si>
    <t>Контроль</t>
  </si>
  <si>
    <t>Опыт</t>
  </si>
  <si>
    <t>Урожайность с 1 га, шт</t>
  </si>
  <si>
    <t>Затраты труда на 1 шт., чел-ч</t>
  </si>
  <si>
    <t>Производственные затраты на 1 га, руб</t>
  </si>
  <si>
    <t>Производственная себестоимость 1 шт, га</t>
  </si>
  <si>
    <t>Полная себестоимость 1 шт, руб</t>
  </si>
  <si>
    <t>Цена реализации 1 шт, руб</t>
  </si>
  <si>
    <t>Прибыль (убыток) на 1 шт, ру</t>
  </si>
  <si>
    <t>Рентабельность (убыточность), %</t>
  </si>
  <si>
    <t>Структура производственных затрат</t>
  </si>
  <si>
    <t>Стурктура затрат</t>
  </si>
  <si>
    <t>Сумма, руб</t>
  </si>
  <si>
    <t>Удельный вес, %</t>
  </si>
  <si>
    <t>Заработная плата со страховыми взносами</t>
  </si>
  <si>
    <t>Атотранспорт</t>
  </si>
  <si>
    <t>Семена</t>
  </si>
  <si>
    <t>Удобрения,средства защиты и грунт</t>
  </si>
  <si>
    <t>Амортизация</t>
  </si>
  <si>
    <t>Текущий ремонт</t>
  </si>
  <si>
    <t>Всего прямых затрат</t>
  </si>
  <si>
    <t>Накладные затраты</t>
  </si>
  <si>
    <t>Производственные затраты всего</t>
  </si>
  <si>
    <t>Структура затрат</t>
  </si>
  <si>
    <t>Удобрения, средства защиты и грунт</t>
  </si>
  <si>
    <t>Текущий ремнот</t>
  </si>
  <si>
    <t>Груша</t>
  </si>
  <si>
    <t>Просто Мария</t>
  </si>
  <si>
    <t>Лада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</si>
</sst>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\ mmm;@"/>
    <numFmt numFmtId="165" formatCode="0.0"/>
    <numFmt numFmtId="166" formatCode="d\-mmm"/>
    <numFmt numFmtId="167" formatCode="_-* #,##0.00_р_._-;\-* #,##0.00_р_._-;_-* \-??_р_._-;_-@_-"/>
    <numFmt numFmtId="168" formatCode="_-* #,##0.0_р_._-;\-* #,##0.0_р_._-;_-* \-??_р_._-;_-@_-"/>
    <numFmt numFmtId="169" formatCode="#,##0&quot;р.&quot;;[Red]\-#,##0&quot;р.&quot;"/>
    <numFmt numFmtId="170" formatCode="#,##0_ ;[Red]\-#,##0\ "/>
  </numFmts>
  <fonts count="2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</font>
    <font>
      <sz val="9"/>
      <name val="Times New Roman"/>
      <family val="1"/>
      <charset val="204"/>
    </font>
    <font>
      <b/>
      <sz val="12"/>
      <name val="Arial Cyr"/>
      <family val="2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Lucida Fax"/>
      <family val="1"/>
    </font>
    <font>
      <sz val="9"/>
      <color rgb="FF000000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7" fontId="20" fillId="0" borderId="0" applyBorder="0" applyAlignment="0" applyProtection="0"/>
  </cellStyleXfs>
  <cellXfs count="114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wrapText="1"/>
    </xf>
    <xf numFmtId="0" fontId="10" fillId="2" borderId="0" xfId="0" applyFont="1" applyFill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wrapText="1"/>
    </xf>
    <xf numFmtId="0" fontId="13" fillId="0" borderId="0" xfId="0" applyFont="1" applyBorder="1" applyAlignment="1">
      <alignment horizontal="left" vertical="center" wrapText="1"/>
    </xf>
    <xf numFmtId="2" fontId="12" fillId="0" borderId="2" xfId="0" applyNumberFormat="1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16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left" vertical="center" wrapText="1"/>
    </xf>
    <xf numFmtId="170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4" fillId="0" borderId="0" xfId="0" applyFont="1"/>
    <xf numFmtId="2" fontId="1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2" xfId="0" applyNumberFormat="1" applyFont="1" applyBorder="1" applyAlignment="1">
      <alignment horizontal="center" vertical="center"/>
    </xf>
    <xf numFmtId="0" fontId="1" fillId="0" borderId="0" xfId="0" applyFont="1"/>
    <xf numFmtId="0" fontId="16" fillId="0" borderId="0" xfId="0" applyFont="1"/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168" fontId="3" fillId="0" borderId="2" xfId="1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7" fontId="3" fillId="0" borderId="2" xfId="1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/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76"/>
  <sheetViews>
    <sheetView zoomScale="90" zoomScaleNormal="90" workbookViewId="0">
      <selection activeCell="U3" sqref="U3:W3"/>
    </sheetView>
  </sheetViews>
  <sheetFormatPr defaultRowHeight="12.75" x14ac:dyDescent="0.2"/>
  <cols>
    <col min="1" max="1" width="33.42578125" style="1" customWidth="1"/>
    <col min="2" max="2" width="7.7109375" style="1" customWidth="1"/>
    <col min="3" max="3" width="7.85546875" style="1" customWidth="1"/>
    <col min="4" max="4" width="7.42578125" style="1" customWidth="1"/>
    <col min="5" max="5" width="7.140625" style="1" customWidth="1"/>
    <col min="6" max="6" width="8" style="1" customWidth="1"/>
    <col min="7" max="7" width="7.28515625" style="1" customWidth="1"/>
    <col min="8" max="8" width="10.85546875" style="1" customWidth="1"/>
    <col min="9" max="9" width="10.42578125" style="1" customWidth="1"/>
    <col min="10" max="10" width="7.140625" style="1" customWidth="1"/>
    <col min="11" max="11" width="7.5703125" style="1" customWidth="1"/>
    <col min="12" max="13" width="7.42578125" style="1" customWidth="1"/>
    <col min="14" max="14" width="10.5703125" style="1" customWidth="1"/>
    <col min="15" max="15" width="10.42578125" style="1" customWidth="1"/>
    <col min="16" max="16" width="11.140625" style="1" customWidth="1"/>
    <col min="17" max="17" width="10.140625" style="1" customWidth="1"/>
    <col min="18" max="18" width="9.28515625" style="1" customWidth="1"/>
    <col min="19" max="19" width="12.140625" style="1" customWidth="1"/>
    <col min="20" max="20" width="14.140625" style="1" customWidth="1"/>
    <col min="21" max="21" width="15.28515625" style="1" customWidth="1"/>
    <col min="22" max="22" width="10.7109375" style="1" customWidth="1"/>
    <col min="23" max="23" width="14.140625" style="1" customWidth="1"/>
    <col min="24" max="24" width="6.85546875" style="1" customWidth="1"/>
    <col min="25" max="25" width="10.85546875" style="1" customWidth="1"/>
    <col min="26" max="26" width="8.28515625" style="1" customWidth="1"/>
    <col min="27" max="27" width="7.42578125" style="1" customWidth="1"/>
    <col min="28" max="28" width="7.7109375" style="1" customWidth="1"/>
    <col min="29" max="29" width="8.7109375" style="1" customWidth="1"/>
    <col min="30" max="30" width="12" style="1" customWidth="1"/>
    <col min="31" max="257" width="9.140625" style="1" customWidth="1"/>
    <col min="258" max="1025" width="9.140625" customWidth="1"/>
  </cols>
  <sheetData>
    <row r="1" spans="1:29" ht="12.75" customHeight="1" x14ac:dyDescent="0.2">
      <c r="AA1" s="104" t="s">
        <v>0</v>
      </c>
      <c r="AB1" s="104"/>
      <c r="AC1" s="104"/>
    </row>
    <row r="2" spans="1:29" ht="31.5" customHeight="1" x14ac:dyDescent="0.2">
      <c r="A2" s="2" t="s">
        <v>1</v>
      </c>
      <c r="B2" s="3"/>
      <c r="C2" s="3"/>
      <c r="D2" s="3"/>
      <c r="E2" s="3"/>
      <c r="F2" s="3"/>
      <c r="G2" s="3"/>
      <c r="R2" s="93" t="s">
        <v>2</v>
      </c>
      <c r="S2" s="93"/>
      <c r="T2" s="93"/>
      <c r="U2" s="87" t="s">
        <v>179</v>
      </c>
      <c r="V2" s="87"/>
      <c r="W2" s="87"/>
      <c r="X2" s="101" t="s">
        <v>3</v>
      </c>
      <c r="Y2" s="101"/>
      <c r="Z2" s="102" t="s">
        <v>4</v>
      </c>
      <c r="AA2" s="102"/>
      <c r="AB2" s="97" t="s">
        <v>5</v>
      </c>
      <c r="AC2" s="97"/>
    </row>
    <row r="3" spans="1:29" ht="12.75" customHeight="1" x14ac:dyDescent="0.2">
      <c r="B3" s="100"/>
      <c r="C3" s="3"/>
      <c r="D3" s="3"/>
      <c r="E3" s="3"/>
      <c r="F3" s="3"/>
      <c r="G3" s="105" t="s">
        <v>6</v>
      </c>
      <c r="H3" s="105"/>
      <c r="I3" s="105"/>
      <c r="J3" s="105"/>
      <c r="K3" s="105"/>
      <c r="L3" s="105"/>
      <c r="M3" s="105"/>
      <c r="N3" s="105"/>
      <c r="O3" s="105"/>
      <c r="P3" s="105"/>
      <c r="R3" s="93" t="s">
        <v>7</v>
      </c>
      <c r="S3" s="93"/>
      <c r="T3" s="93"/>
      <c r="U3" s="87" t="s">
        <v>180</v>
      </c>
      <c r="V3" s="87"/>
      <c r="W3" s="87"/>
      <c r="X3" s="101"/>
      <c r="Y3" s="101"/>
      <c r="Z3" s="102"/>
      <c r="AA3" s="102"/>
      <c r="AB3" s="97"/>
      <c r="AC3" s="97"/>
    </row>
    <row r="4" spans="1:29" ht="12.75" customHeight="1" x14ac:dyDescent="0.2">
      <c r="A4" s="100"/>
      <c r="B4" s="100"/>
      <c r="C4" s="3"/>
      <c r="D4" s="3"/>
      <c r="E4" s="3"/>
      <c r="F4" s="3"/>
      <c r="G4" s="105"/>
      <c r="H4" s="105"/>
      <c r="I4" s="105"/>
      <c r="J4" s="105"/>
      <c r="K4" s="105"/>
      <c r="L4" s="105"/>
      <c r="M4" s="105"/>
      <c r="N4" s="105"/>
      <c r="O4" s="105"/>
      <c r="P4" s="105"/>
      <c r="R4" s="93" t="s">
        <v>8</v>
      </c>
      <c r="S4" s="93"/>
      <c r="T4" s="93"/>
      <c r="U4" s="87">
        <v>1</v>
      </c>
      <c r="V4" s="87"/>
      <c r="W4" s="5" t="s">
        <v>9</v>
      </c>
      <c r="X4" s="101" t="s">
        <v>10</v>
      </c>
      <c r="Y4" s="101"/>
      <c r="Z4" s="102"/>
      <c r="AA4" s="102"/>
      <c r="AB4" s="101">
        <v>36000</v>
      </c>
      <c r="AC4" s="101"/>
    </row>
    <row r="5" spans="1:29" ht="12.75" customHeight="1" x14ac:dyDescent="0.2">
      <c r="A5" s="100"/>
      <c r="B5" s="3"/>
      <c r="C5" s="3"/>
      <c r="D5" s="3"/>
      <c r="E5" s="3"/>
      <c r="F5" s="3"/>
      <c r="J5" s="103"/>
      <c r="K5" s="103"/>
      <c r="L5" s="103"/>
      <c r="M5" s="103"/>
      <c r="N5" s="103"/>
      <c r="R5" s="93" t="s">
        <v>11</v>
      </c>
      <c r="S5" s="93"/>
      <c r="T5" s="93"/>
      <c r="U5" s="87" t="s">
        <v>12</v>
      </c>
      <c r="V5" s="87"/>
      <c r="W5" s="87"/>
      <c r="X5" s="101" t="s">
        <v>13</v>
      </c>
      <c r="Y5" s="101"/>
      <c r="Z5" s="102"/>
      <c r="AA5" s="102"/>
      <c r="AB5" s="102"/>
      <c r="AC5" s="102"/>
    </row>
    <row r="6" spans="1:29" ht="12.75" customHeight="1" x14ac:dyDescent="0.2">
      <c r="A6" s="7"/>
      <c r="B6" s="3"/>
      <c r="C6" s="3"/>
      <c r="D6" s="3"/>
      <c r="E6" s="3"/>
      <c r="F6" s="3"/>
      <c r="J6" s="8"/>
      <c r="K6" s="8"/>
      <c r="L6" s="8"/>
      <c r="M6" s="8"/>
      <c r="N6" s="8"/>
      <c r="R6" s="93" t="s">
        <v>14</v>
      </c>
      <c r="S6" s="93"/>
      <c r="T6" s="9"/>
      <c r="U6" s="87">
        <v>40000</v>
      </c>
      <c r="V6" s="87"/>
      <c r="W6" s="10" t="s">
        <v>15</v>
      </c>
      <c r="X6" s="11"/>
      <c r="Y6" s="11"/>
      <c r="Z6" s="11"/>
      <c r="AA6" s="11"/>
      <c r="AB6" s="11"/>
      <c r="AC6" s="11"/>
    </row>
    <row r="7" spans="1:29" ht="12.75" customHeight="1" x14ac:dyDescent="0.2">
      <c r="B7" s="12"/>
      <c r="C7" s="12"/>
      <c r="D7" s="12"/>
      <c r="E7" s="12"/>
      <c r="F7" s="12"/>
    </row>
    <row r="8" spans="1:29" ht="12.75" customHeight="1" x14ac:dyDescent="0.2">
      <c r="A8" s="99" t="s">
        <v>16</v>
      </c>
      <c r="B8" s="97" t="s">
        <v>17</v>
      </c>
      <c r="C8" s="97"/>
      <c r="D8" s="97"/>
      <c r="E8" s="97"/>
      <c r="F8" s="97" t="s">
        <v>18</v>
      </c>
      <c r="G8" s="97"/>
      <c r="H8" s="97" t="s">
        <v>19</v>
      </c>
      <c r="I8" s="97"/>
      <c r="J8" s="97"/>
      <c r="K8" s="97" t="s">
        <v>20</v>
      </c>
      <c r="L8" s="97"/>
      <c r="M8" s="96" t="s">
        <v>21</v>
      </c>
      <c r="N8" s="96" t="s">
        <v>22</v>
      </c>
      <c r="O8" s="97" t="s">
        <v>23</v>
      </c>
      <c r="P8" s="97"/>
      <c r="Q8" s="97" t="s">
        <v>24</v>
      </c>
      <c r="R8" s="97"/>
      <c r="S8" s="97" t="s">
        <v>25</v>
      </c>
      <c r="T8" s="97"/>
      <c r="U8" s="96" t="s">
        <v>26</v>
      </c>
      <c r="V8" s="96" t="s">
        <v>27</v>
      </c>
      <c r="W8" s="97" t="s">
        <v>28</v>
      </c>
      <c r="X8" s="97"/>
      <c r="Y8" s="97"/>
      <c r="Z8" s="97" t="s">
        <v>29</v>
      </c>
      <c r="AA8" s="97"/>
      <c r="AB8" s="97" t="s">
        <v>30</v>
      </c>
      <c r="AC8" s="97"/>
    </row>
    <row r="9" spans="1:29" ht="12.75" customHeight="1" x14ac:dyDescent="0.2">
      <c r="A9" s="99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6"/>
      <c r="N9" s="96"/>
      <c r="O9" s="97"/>
      <c r="P9" s="97"/>
      <c r="Q9" s="97"/>
      <c r="R9" s="97"/>
      <c r="S9" s="97"/>
      <c r="T9" s="97"/>
      <c r="U9" s="96"/>
      <c r="V9" s="96"/>
      <c r="W9" s="97"/>
      <c r="X9" s="97"/>
      <c r="Y9" s="97"/>
      <c r="Z9" s="97"/>
      <c r="AA9" s="97"/>
      <c r="AB9" s="97"/>
      <c r="AC9" s="97"/>
    </row>
    <row r="10" spans="1:29" x14ac:dyDescent="0.2">
      <c r="A10" s="99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6"/>
      <c r="N10" s="96"/>
      <c r="O10" s="97"/>
      <c r="P10" s="97"/>
      <c r="Q10" s="97"/>
      <c r="R10" s="97"/>
      <c r="S10" s="97"/>
      <c r="T10" s="97"/>
      <c r="U10" s="96"/>
      <c r="V10" s="96"/>
      <c r="W10" s="97"/>
      <c r="X10" s="97"/>
      <c r="Y10" s="97"/>
      <c r="Z10" s="97"/>
      <c r="AA10" s="97"/>
      <c r="AB10" s="97"/>
      <c r="AC10" s="97"/>
    </row>
    <row r="11" spans="1:29" ht="12.75" customHeight="1" x14ac:dyDescent="0.2">
      <c r="A11" s="99"/>
      <c r="B11" s="96" t="s">
        <v>31</v>
      </c>
      <c r="C11" s="96" t="s">
        <v>32</v>
      </c>
      <c r="D11" s="96" t="s">
        <v>33</v>
      </c>
      <c r="E11" s="96" t="s">
        <v>34</v>
      </c>
      <c r="F11" s="96" t="s">
        <v>35</v>
      </c>
      <c r="G11" s="96" t="s">
        <v>36</v>
      </c>
      <c r="H11" s="96" t="s">
        <v>37</v>
      </c>
      <c r="I11" s="97" t="s">
        <v>38</v>
      </c>
      <c r="J11" s="97"/>
      <c r="K11" s="96" t="s">
        <v>39</v>
      </c>
      <c r="L11" s="96" t="s">
        <v>40</v>
      </c>
      <c r="M11" s="96"/>
      <c r="N11" s="96"/>
      <c r="O11" s="96" t="s">
        <v>39</v>
      </c>
      <c r="P11" s="96" t="s">
        <v>40</v>
      </c>
      <c r="Q11" s="96" t="s">
        <v>39</v>
      </c>
      <c r="R11" s="96" t="s">
        <v>40</v>
      </c>
      <c r="S11" s="96" t="s">
        <v>39</v>
      </c>
      <c r="T11" s="96" t="s">
        <v>40</v>
      </c>
      <c r="U11" s="96"/>
      <c r="V11" s="96"/>
      <c r="W11" s="97" t="s">
        <v>41</v>
      </c>
      <c r="X11" s="97"/>
      <c r="Y11" s="96" t="s">
        <v>42</v>
      </c>
      <c r="Z11" s="96" t="s">
        <v>43</v>
      </c>
      <c r="AA11" s="96" t="s">
        <v>42</v>
      </c>
      <c r="AB11" s="96" t="s">
        <v>44</v>
      </c>
      <c r="AC11" s="96" t="s">
        <v>42</v>
      </c>
    </row>
    <row r="12" spans="1:29" ht="12.75" customHeight="1" x14ac:dyDescent="0.2">
      <c r="A12" s="99"/>
      <c r="B12" s="96"/>
      <c r="C12" s="96"/>
      <c r="D12" s="96"/>
      <c r="E12" s="96"/>
      <c r="F12" s="96"/>
      <c r="G12" s="96"/>
      <c r="H12" s="96"/>
      <c r="I12" s="97" t="s">
        <v>45</v>
      </c>
      <c r="J12" s="96" t="s">
        <v>46</v>
      </c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 t="s">
        <v>47</v>
      </c>
      <c r="X12" s="96" t="s">
        <v>48</v>
      </c>
      <c r="Y12" s="96"/>
      <c r="Z12" s="96"/>
      <c r="AA12" s="96"/>
      <c r="AB12" s="96"/>
      <c r="AC12" s="96"/>
    </row>
    <row r="13" spans="1:29" x14ac:dyDescent="0.2">
      <c r="A13" s="99"/>
      <c r="B13" s="96"/>
      <c r="C13" s="96"/>
      <c r="D13" s="96"/>
      <c r="E13" s="96"/>
      <c r="F13" s="96"/>
      <c r="G13" s="96"/>
      <c r="H13" s="96"/>
      <c r="I13" s="97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</row>
    <row r="14" spans="1:29" ht="27.75" customHeight="1" x14ac:dyDescent="0.2">
      <c r="A14" s="99"/>
      <c r="B14" s="96"/>
      <c r="C14" s="96"/>
      <c r="D14" s="96"/>
      <c r="E14" s="96"/>
      <c r="F14" s="96"/>
      <c r="G14" s="96"/>
      <c r="H14" s="96"/>
      <c r="I14" s="97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</row>
    <row r="15" spans="1:29" ht="12.75" customHeight="1" x14ac:dyDescent="0.2">
      <c r="A15" s="13" t="s">
        <v>49</v>
      </c>
      <c r="B15" s="14" t="s">
        <v>50</v>
      </c>
      <c r="C15" s="14">
        <v>1</v>
      </c>
      <c r="D15" s="14">
        <v>2</v>
      </c>
      <c r="E15" s="14">
        <v>3</v>
      </c>
      <c r="F15" s="14">
        <v>4</v>
      </c>
      <c r="G15" s="14">
        <v>5</v>
      </c>
      <c r="H15" s="14">
        <v>6</v>
      </c>
      <c r="I15" s="14">
        <v>7</v>
      </c>
      <c r="J15" s="14">
        <v>8</v>
      </c>
      <c r="K15" s="14">
        <v>9</v>
      </c>
      <c r="L15" s="14">
        <v>10</v>
      </c>
      <c r="M15" s="14">
        <v>11</v>
      </c>
      <c r="N15" s="14">
        <v>12</v>
      </c>
      <c r="O15" s="14">
        <v>13</v>
      </c>
      <c r="P15" s="14">
        <v>14</v>
      </c>
      <c r="Q15" s="14">
        <v>15</v>
      </c>
      <c r="R15" s="14">
        <v>16</v>
      </c>
      <c r="S15" s="14">
        <v>17</v>
      </c>
      <c r="T15" s="14">
        <v>18</v>
      </c>
      <c r="U15" s="14">
        <v>19</v>
      </c>
      <c r="V15" s="14">
        <v>20</v>
      </c>
      <c r="W15" s="14">
        <v>21</v>
      </c>
      <c r="X15" s="14">
        <v>22</v>
      </c>
      <c r="Y15" s="14">
        <v>23</v>
      </c>
      <c r="Z15" s="14">
        <v>24</v>
      </c>
      <c r="AA15" s="14">
        <v>25</v>
      </c>
      <c r="AB15" s="14">
        <v>26</v>
      </c>
      <c r="AC15" s="14">
        <v>27</v>
      </c>
    </row>
    <row r="16" spans="1:29" ht="12.75" customHeight="1" x14ac:dyDescent="0.2">
      <c r="A16" s="13" t="s">
        <v>51</v>
      </c>
      <c r="B16" s="14" t="s">
        <v>15</v>
      </c>
      <c r="C16" s="14">
        <v>625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</row>
    <row r="17" spans="1:29" ht="12.75" customHeight="1" x14ac:dyDescent="0.2">
      <c r="A17" s="15" t="s">
        <v>52</v>
      </c>
      <c r="B17" s="14" t="s">
        <v>53</v>
      </c>
      <c r="C17" s="14">
        <v>1.2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</row>
    <row r="18" spans="1:29" ht="30" customHeight="1" x14ac:dyDescent="0.25">
      <c r="A18" s="16" t="s">
        <v>54</v>
      </c>
      <c r="B18" s="17" t="s">
        <v>9</v>
      </c>
      <c r="C18" s="18">
        <v>1</v>
      </c>
      <c r="D18" s="19">
        <v>7.7</v>
      </c>
      <c r="E18" s="19">
        <v>0.4</v>
      </c>
      <c r="F18" s="20"/>
      <c r="G18" s="17">
        <v>1</v>
      </c>
      <c r="H18" s="17" t="s">
        <v>55</v>
      </c>
      <c r="I18" s="17" t="s">
        <v>56</v>
      </c>
      <c r="J18" s="17">
        <v>1</v>
      </c>
      <c r="K18" s="17">
        <v>1</v>
      </c>
      <c r="L18" s="17" t="s">
        <v>57</v>
      </c>
      <c r="M18" s="19">
        <v>55.1</v>
      </c>
      <c r="N18" s="21">
        <f t="shared" ref="N18:N23" si="0">C18/M18</f>
        <v>1.8148820326678767E-2</v>
      </c>
      <c r="O18" s="21">
        <f>N18*K18*7</f>
        <v>0.12704174228675136</v>
      </c>
      <c r="P18" s="17" t="s">
        <v>57</v>
      </c>
      <c r="Q18" s="19">
        <f>H64</f>
        <v>1228.6300000000001</v>
      </c>
      <c r="R18" s="17" t="s">
        <v>57</v>
      </c>
      <c r="S18" s="21">
        <f>O18:O29*Q18:Q29</f>
        <v>156.08729582577132</v>
      </c>
      <c r="T18" s="21" t="s">
        <v>57</v>
      </c>
      <c r="U18" s="21">
        <v>10.75</v>
      </c>
      <c r="V18" s="17"/>
      <c r="W18" s="21">
        <v>10.4</v>
      </c>
      <c r="X18" s="21">
        <f>E18/W18</f>
        <v>3.8461538461538464E-2</v>
      </c>
      <c r="Y18" s="21">
        <f>X18*AC56</f>
        <v>178.53846153846155</v>
      </c>
      <c r="Z18" s="22"/>
      <c r="AA18" s="22"/>
      <c r="AB18" s="21"/>
      <c r="AC18" s="23"/>
    </row>
    <row r="19" spans="1:29" ht="27" customHeight="1" x14ac:dyDescent="0.25">
      <c r="A19" s="16" t="s">
        <v>58</v>
      </c>
      <c r="B19" s="17" t="s">
        <v>9</v>
      </c>
      <c r="C19" s="18">
        <v>1</v>
      </c>
      <c r="D19" s="19">
        <v>4.9000000000000004</v>
      </c>
      <c r="E19" s="17">
        <v>0.3</v>
      </c>
      <c r="F19" s="20"/>
      <c r="G19" s="17">
        <v>1</v>
      </c>
      <c r="H19" s="17" t="s">
        <v>59</v>
      </c>
      <c r="I19" s="17" t="s">
        <v>60</v>
      </c>
      <c r="J19" s="17">
        <v>1</v>
      </c>
      <c r="K19" s="17">
        <v>1</v>
      </c>
      <c r="L19" s="17" t="s">
        <v>57</v>
      </c>
      <c r="M19" s="19">
        <v>70</v>
      </c>
      <c r="N19" s="21">
        <f t="shared" si="0"/>
        <v>1.4285714285714285E-2</v>
      </c>
      <c r="O19" s="21">
        <f>N20*K20*7</f>
        <v>4</v>
      </c>
      <c r="P19" s="17" t="s">
        <v>57</v>
      </c>
      <c r="Q19" s="19">
        <f>H64</f>
        <v>1228.6300000000001</v>
      </c>
      <c r="R19" s="17" t="s">
        <v>57</v>
      </c>
      <c r="S19" s="21">
        <f>Q19*O19</f>
        <v>4914.5200000000004</v>
      </c>
      <c r="T19" s="21" t="s">
        <v>57</v>
      </c>
      <c r="U19" s="21">
        <v>434.7</v>
      </c>
      <c r="V19" s="17"/>
      <c r="W19" s="21">
        <v>8.5</v>
      </c>
      <c r="X19" s="21">
        <f>E19/W19</f>
        <v>3.5294117647058823E-2</v>
      </c>
      <c r="Y19" s="21">
        <f>X19*AC56</f>
        <v>163.83529411764707</v>
      </c>
      <c r="Z19" s="22"/>
      <c r="AA19" s="22"/>
      <c r="AB19" s="21"/>
      <c r="AC19" s="23"/>
    </row>
    <row r="20" spans="1:29" ht="27.75" customHeight="1" x14ac:dyDescent="0.25">
      <c r="A20" s="16" t="s">
        <v>61</v>
      </c>
      <c r="B20" s="17" t="s">
        <v>62</v>
      </c>
      <c r="C20" s="18">
        <v>60</v>
      </c>
      <c r="D20" s="19">
        <v>4.9000000000000004</v>
      </c>
      <c r="E20" s="17">
        <v>13.8</v>
      </c>
      <c r="F20" s="20"/>
      <c r="G20" s="17">
        <v>1</v>
      </c>
      <c r="H20" s="17" t="s">
        <v>59</v>
      </c>
      <c r="I20" s="17" t="s">
        <v>63</v>
      </c>
      <c r="J20" s="17">
        <v>1</v>
      </c>
      <c r="K20" s="17">
        <v>1</v>
      </c>
      <c r="L20" s="17" t="s">
        <v>57</v>
      </c>
      <c r="M20" s="19">
        <v>105</v>
      </c>
      <c r="N20" s="21">
        <f t="shared" si="0"/>
        <v>0.5714285714285714</v>
      </c>
      <c r="O20" s="21">
        <f>M21*K21</f>
        <v>26</v>
      </c>
      <c r="P20" s="17" t="s">
        <v>57</v>
      </c>
      <c r="Q20" s="19">
        <f>E64</f>
        <v>819.08</v>
      </c>
      <c r="R20" s="17" t="s">
        <v>57</v>
      </c>
      <c r="S20" s="21">
        <f>Q20*O20</f>
        <v>21296.080000000002</v>
      </c>
      <c r="T20" s="21" t="s">
        <v>57</v>
      </c>
      <c r="U20" s="21">
        <v>2402.4</v>
      </c>
      <c r="V20" s="17"/>
      <c r="W20" s="21">
        <v>8.5</v>
      </c>
      <c r="X20" s="21">
        <f>E20/W20</f>
        <v>1.6235294117647059</v>
      </c>
      <c r="Y20" s="21">
        <f>X20*AC56</f>
        <v>7536.4235294117643</v>
      </c>
      <c r="Z20" s="22"/>
      <c r="AA20" s="22"/>
      <c r="AB20" s="21"/>
      <c r="AC20" s="23"/>
    </row>
    <row r="21" spans="1:29" ht="34.5" customHeight="1" x14ac:dyDescent="0.25">
      <c r="A21" s="16" t="s">
        <v>64</v>
      </c>
      <c r="B21" s="17" t="s">
        <v>9</v>
      </c>
      <c r="C21" s="18">
        <v>1</v>
      </c>
      <c r="D21" s="19">
        <v>4.9000000000000004</v>
      </c>
      <c r="E21" s="19">
        <v>0.4</v>
      </c>
      <c r="F21" s="20"/>
      <c r="G21" s="17">
        <v>1</v>
      </c>
      <c r="H21" s="17" t="s">
        <v>59</v>
      </c>
      <c r="I21" s="17" t="s">
        <v>65</v>
      </c>
      <c r="J21" s="17">
        <v>1</v>
      </c>
      <c r="K21" s="17">
        <v>1</v>
      </c>
      <c r="L21" s="17" t="s">
        <v>57</v>
      </c>
      <c r="M21" s="19">
        <v>26</v>
      </c>
      <c r="N21" s="21">
        <f t="shared" si="0"/>
        <v>3.8461538461538464E-2</v>
      </c>
      <c r="O21" s="21">
        <f>N23*K23*7</f>
        <v>1.4285714285714284</v>
      </c>
      <c r="P21" s="17" t="s">
        <v>57</v>
      </c>
      <c r="Q21" s="19">
        <f>F64</f>
        <v>923.87</v>
      </c>
      <c r="R21" s="17" t="s">
        <v>57</v>
      </c>
      <c r="S21" s="21">
        <f>Q21*O21</f>
        <v>1319.8142857142855</v>
      </c>
      <c r="T21" s="21" t="s">
        <v>57</v>
      </c>
      <c r="U21" s="21">
        <v>39.25</v>
      </c>
      <c r="V21" s="17"/>
      <c r="W21" s="21">
        <v>8.5</v>
      </c>
      <c r="X21" s="21">
        <f>E21/W21</f>
        <v>4.7058823529411764E-2</v>
      </c>
      <c r="Y21" s="21">
        <f>X21*AC56</f>
        <v>218.4470588235294</v>
      </c>
      <c r="Z21" s="22"/>
      <c r="AA21" s="22"/>
      <c r="AB21" s="21"/>
      <c r="AC21" s="23"/>
    </row>
    <row r="22" spans="1:29" ht="34.5" customHeight="1" x14ac:dyDescent="0.25">
      <c r="A22" s="16" t="s">
        <v>66</v>
      </c>
      <c r="B22" s="17" t="s">
        <v>53</v>
      </c>
      <c r="C22" s="18">
        <v>1.2</v>
      </c>
      <c r="D22" s="19"/>
      <c r="E22" s="19"/>
      <c r="F22" s="20"/>
      <c r="G22" s="17">
        <v>1</v>
      </c>
      <c r="H22" s="17"/>
      <c r="I22" s="17" t="s">
        <v>67</v>
      </c>
      <c r="J22" s="17"/>
      <c r="K22" s="17"/>
      <c r="L22" s="17">
        <v>1</v>
      </c>
      <c r="M22" s="19">
        <v>1</v>
      </c>
      <c r="N22" s="21">
        <f t="shared" si="0"/>
        <v>1.2</v>
      </c>
      <c r="O22" s="21"/>
      <c r="P22" s="17">
        <f>L22*N22</f>
        <v>1.2</v>
      </c>
      <c r="Q22" s="19"/>
      <c r="R22" s="19">
        <f>E61</f>
        <v>627.10899009900993</v>
      </c>
      <c r="S22" s="21"/>
      <c r="T22" s="21">
        <f>R22*P22</f>
        <v>752.53078811881187</v>
      </c>
      <c r="U22" s="21"/>
      <c r="V22" s="17"/>
      <c r="W22" s="21"/>
      <c r="X22" s="22"/>
      <c r="Y22" s="21"/>
      <c r="Z22" s="22"/>
      <c r="AA22" s="22"/>
      <c r="AB22" s="21"/>
      <c r="AC22" s="23"/>
    </row>
    <row r="23" spans="1:29" ht="23.25" customHeight="1" x14ac:dyDescent="0.25">
      <c r="A23" s="16" t="s">
        <v>68</v>
      </c>
      <c r="B23" s="17" t="s">
        <v>9</v>
      </c>
      <c r="C23" s="18">
        <v>1</v>
      </c>
      <c r="D23" s="19">
        <v>7.7</v>
      </c>
      <c r="E23" s="19">
        <v>1.5</v>
      </c>
      <c r="F23" s="20"/>
      <c r="G23" s="17">
        <v>1</v>
      </c>
      <c r="H23" s="17" t="s">
        <v>55</v>
      </c>
      <c r="I23" s="17" t="s">
        <v>69</v>
      </c>
      <c r="J23" s="17">
        <v>1</v>
      </c>
      <c r="K23" s="17">
        <v>1</v>
      </c>
      <c r="L23" s="17" t="s">
        <v>57</v>
      </c>
      <c r="M23" s="19">
        <v>4.9000000000000004</v>
      </c>
      <c r="N23" s="21">
        <f t="shared" si="0"/>
        <v>0.2040816326530612</v>
      </c>
      <c r="O23" s="21">
        <v>1.4</v>
      </c>
      <c r="P23" s="17" t="s">
        <v>57</v>
      </c>
      <c r="Q23" s="19">
        <f>H64</f>
        <v>1228.6300000000001</v>
      </c>
      <c r="R23" s="17" t="s">
        <v>57</v>
      </c>
      <c r="S23" s="21">
        <f>Q23*O23</f>
        <v>1720.0820000000001</v>
      </c>
      <c r="T23" s="21" t="s">
        <v>57</v>
      </c>
      <c r="U23" s="21">
        <v>43.25</v>
      </c>
      <c r="V23" s="17"/>
      <c r="W23" s="21">
        <v>10.4</v>
      </c>
      <c r="X23" s="22">
        <v>0.2</v>
      </c>
      <c r="Y23" s="21">
        <f>X23*AC56</f>
        <v>928.40000000000009</v>
      </c>
      <c r="Z23" s="22"/>
      <c r="AA23" s="22"/>
      <c r="AB23" s="21"/>
      <c r="AC23" s="23"/>
    </row>
    <row r="24" spans="1:29" ht="21.75" customHeight="1" x14ac:dyDescent="0.25">
      <c r="A24" s="16" t="s">
        <v>70</v>
      </c>
      <c r="B24" s="17" t="s">
        <v>71</v>
      </c>
      <c r="C24" s="26">
        <v>0.4</v>
      </c>
      <c r="D24" s="19">
        <v>4.9000000000000004</v>
      </c>
      <c r="E24" s="19">
        <v>0.1</v>
      </c>
      <c r="F24" s="20"/>
      <c r="G24" s="17">
        <v>1</v>
      </c>
      <c r="H24" s="17" t="s">
        <v>72</v>
      </c>
      <c r="I24" s="17" t="s">
        <v>63</v>
      </c>
      <c r="J24" s="17">
        <v>1</v>
      </c>
      <c r="K24" s="17">
        <v>1</v>
      </c>
      <c r="L24" s="17" t="s">
        <v>57</v>
      </c>
      <c r="M24" s="19">
        <v>105</v>
      </c>
      <c r="N24" s="21">
        <v>1.25</v>
      </c>
      <c r="O24" s="21">
        <f>K24*N24*7</f>
        <v>8.75</v>
      </c>
      <c r="P24" s="17" t="s">
        <v>57</v>
      </c>
      <c r="Q24" s="19">
        <f>E64</f>
        <v>819.08</v>
      </c>
      <c r="R24" s="17" t="s">
        <v>57</v>
      </c>
      <c r="S24" s="21">
        <f>Q24*O24</f>
        <v>7166.9500000000007</v>
      </c>
      <c r="T24" s="21" t="s">
        <v>57</v>
      </c>
      <c r="U24" s="21">
        <v>2.67</v>
      </c>
      <c r="V24" s="17"/>
      <c r="W24" s="21">
        <v>8.5</v>
      </c>
      <c r="X24" s="21">
        <f>E24/W24</f>
        <v>1.1764705882352941E-2</v>
      </c>
      <c r="Y24" s="21">
        <f>X24*AC56</f>
        <v>54.611764705882351</v>
      </c>
      <c r="Z24" s="22"/>
      <c r="AA24" s="22"/>
      <c r="AB24" s="21"/>
      <c r="AC24" s="23"/>
    </row>
    <row r="25" spans="1:29" ht="37.5" customHeight="1" x14ac:dyDescent="0.25">
      <c r="A25" s="16" t="s">
        <v>73</v>
      </c>
      <c r="B25" s="17" t="s">
        <v>9</v>
      </c>
      <c r="C25" s="18">
        <v>1</v>
      </c>
      <c r="D25" s="19">
        <v>4.9000000000000004</v>
      </c>
      <c r="E25" s="19">
        <v>0.1</v>
      </c>
      <c r="F25" s="20"/>
      <c r="G25" s="17">
        <v>1</v>
      </c>
      <c r="H25" s="17" t="s">
        <v>59</v>
      </c>
      <c r="I25" s="17" t="s">
        <v>74</v>
      </c>
      <c r="J25" s="17">
        <v>1</v>
      </c>
      <c r="K25" s="17">
        <v>1</v>
      </c>
      <c r="L25" s="17" t="s">
        <v>57</v>
      </c>
      <c r="M25" s="19">
        <v>26</v>
      </c>
      <c r="N25" s="21">
        <f>C25/M25</f>
        <v>3.8461538461538464E-2</v>
      </c>
      <c r="O25" s="21">
        <f>N25*K25*7</f>
        <v>0.26923076923076927</v>
      </c>
      <c r="P25" s="17" t="s">
        <v>57</v>
      </c>
      <c r="Q25" s="19">
        <f>F64</f>
        <v>923.87</v>
      </c>
      <c r="R25" s="17" t="s">
        <v>57</v>
      </c>
      <c r="S25" s="21">
        <f>Q25*O25</f>
        <v>248.73423076923081</v>
      </c>
      <c r="T25" s="21" t="s">
        <v>57</v>
      </c>
      <c r="U25" s="21">
        <v>3.33</v>
      </c>
      <c r="V25" s="17"/>
      <c r="W25" s="21">
        <v>8.5</v>
      </c>
      <c r="X25" s="21">
        <f>E25/W25</f>
        <v>1.1764705882352941E-2</v>
      </c>
      <c r="Y25" s="21">
        <f>X25*AC56</f>
        <v>54.611764705882351</v>
      </c>
      <c r="Z25" s="22"/>
      <c r="AA25" s="22"/>
      <c r="AB25" s="21"/>
      <c r="AC25" s="23"/>
    </row>
    <row r="26" spans="1:29" ht="37.5" customHeight="1" x14ac:dyDescent="0.25">
      <c r="A26" s="16" t="s">
        <v>75</v>
      </c>
      <c r="B26" s="17" t="s">
        <v>15</v>
      </c>
      <c r="C26" s="18">
        <v>625</v>
      </c>
      <c r="D26" s="19"/>
      <c r="E26" s="19"/>
      <c r="F26" s="20"/>
      <c r="G26" s="17">
        <v>1</v>
      </c>
      <c r="H26" s="17"/>
      <c r="I26" s="17" t="s">
        <v>67</v>
      </c>
      <c r="J26" s="17"/>
      <c r="K26" s="17"/>
      <c r="L26" s="17">
        <v>15</v>
      </c>
      <c r="M26" s="19">
        <v>250</v>
      </c>
      <c r="N26" s="21">
        <f>C26/M26</f>
        <v>2.5</v>
      </c>
      <c r="O26" s="21"/>
      <c r="P26" s="17">
        <f>L26*N26</f>
        <v>37.5</v>
      </c>
      <c r="Q26" s="19"/>
      <c r="R26" s="19">
        <f>E61</f>
        <v>627.10899009900993</v>
      </c>
      <c r="S26" s="21"/>
      <c r="T26" s="21">
        <f>P26*R26</f>
        <v>23516.587128712872</v>
      </c>
      <c r="U26" s="21"/>
      <c r="V26" s="17"/>
      <c r="W26" s="21"/>
      <c r="X26" s="22"/>
      <c r="Y26" s="21"/>
      <c r="Z26" s="22"/>
      <c r="AA26" s="22"/>
      <c r="AB26" s="21"/>
      <c r="AC26" s="23"/>
    </row>
    <row r="27" spans="1:29" ht="37.5" customHeight="1" x14ac:dyDescent="0.25">
      <c r="A27" s="16" t="s">
        <v>76</v>
      </c>
      <c r="B27" s="17" t="s">
        <v>53</v>
      </c>
      <c r="C27" s="18">
        <v>1</v>
      </c>
      <c r="D27" s="19" t="s">
        <v>57</v>
      </c>
      <c r="E27" s="19" t="s">
        <v>57</v>
      </c>
      <c r="F27" s="20"/>
      <c r="G27" s="17">
        <v>3</v>
      </c>
      <c r="H27" s="17" t="s">
        <v>57</v>
      </c>
      <c r="I27" s="17" t="s">
        <v>67</v>
      </c>
      <c r="J27" s="17" t="s">
        <v>57</v>
      </c>
      <c r="K27" s="17" t="s">
        <v>57</v>
      </c>
      <c r="L27" s="17">
        <v>15</v>
      </c>
      <c r="M27" s="19">
        <v>0.5</v>
      </c>
      <c r="N27" s="21">
        <f>C27/M27</f>
        <v>2</v>
      </c>
      <c r="O27" s="21"/>
      <c r="P27" s="17">
        <f>L27*N27</f>
        <v>30</v>
      </c>
      <c r="Q27" s="19" t="s">
        <v>57</v>
      </c>
      <c r="R27" s="19">
        <f>E61</f>
        <v>627.10899009900993</v>
      </c>
      <c r="S27" s="21" t="s">
        <v>57</v>
      </c>
      <c r="T27" s="21">
        <f>P27*R27</f>
        <v>18813.269702970298</v>
      </c>
      <c r="U27" s="21" t="s">
        <v>57</v>
      </c>
      <c r="V27" s="17" t="s">
        <v>57</v>
      </c>
      <c r="W27" s="21" t="s">
        <v>57</v>
      </c>
      <c r="X27" s="22" t="s">
        <v>57</v>
      </c>
      <c r="Y27" s="21" t="s">
        <v>57</v>
      </c>
      <c r="Z27" s="22"/>
      <c r="AA27" s="22"/>
      <c r="AB27" s="21"/>
      <c r="AC27" s="23"/>
    </row>
    <row r="28" spans="1:29" ht="39" customHeight="1" x14ac:dyDescent="0.25">
      <c r="A28" s="16" t="s">
        <v>77</v>
      </c>
      <c r="B28" s="17" t="s">
        <v>9</v>
      </c>
      <c r="C28" s="18">
        <v>1</v>
      </c>
      <c r="D28" s="19">
        <v>4.9000000000000004</v>
      </c>
      <c r="E28" s="19">
        <v>0.3</v>
      </c>
      <c r="F28" s="20"/>
      <c r="G28" s="17">
        <v>1</v>
      </c>
      <c r="H28" s="17" t="s">
        <v>59</v>
      </c>
      <c r="I28" s="17" t="s">
        <v>78</v>
      </c>
      <c r="J28" s="17">
        <v>1</v>
      </c>
      <c r="K28" s="17">
        <v>1</v>
      </c>
      <c r="L28" s="17" t="s">
        <v>57</v>
      </c>
      <c r="M28" s="19">
        <v>45.2</v>
      </c>
      <c r="N28" s="21">
        <f>C28/M28</f>
        <v>2.2123893805309734E-2</v>
      </c>
      <c r="O28" s="21">
        <f>N28*K28*7</f>
        <v>0.15486725663716813</v>
      </c>
      <c r="P28" s="17" t="s">
        <v>57</v>
      </c>
      <c r="Q28" s="19">
        <f>F64</f>
        <v>923.87</v>
      </c>
      <c r="R28" s="17" t="s">
        <v>57</v>
      </c>
      <c r="S28" s="21">
        <f>Q28*O28</f>
        <v>143.07721238938052</v>
      </c>
      <c r="T28" s="21" t="s">
        <v>57</v>
      </c>
      <c r="U28" s="21">
        <v>10.02</v>
      </c>
      <c r="V28" s="17"/>
      <c r="W28" s="21">
        <v>8.5</v>
      </c>
      <c r="X28" s="21">
        <f>E28/W28</f>
        <v>3.5294117647058823E-2</v>
      </c>
      <c r="Y28" s="21">
        <f>X28*AC56</f>
        <v>163.83529411764707</v>
      </c>
      <c r="Z28" s="22"/>
      <c r="AA28" s="22"/>
      <c r="AB28" s="21"/>
      <c r="AC28" s="23"/>
    </row>
    <row r="29" spans="1:29" ht="40.5" customHeight="1" x14ac:dyDescent="0.25">
      <c r="A29" s="16" t="s">
        <v>79</v>
      </c>
      <c r="B29" s="17" t="s">
        <v>9</v>
      </c>
      <c r="C29" s="18">
        <v>1</v>
      </c>
      <c r="D29" s="19">
        <v>4.9000000000000004</v>
      </c>
      <c r="E29" s="19">
        <v>0.9</v>
      </c>
      <c r="F29" s="20"/>
      <c r="G29" s="17">
        <v>1</v>
      </c>
      <c r="H29" s="17" t="s">
        <v>59</v>
      </c>
      <c r="I29" s="24" t="s">
        <v>80</v>
      </c>
      <c r="J29" s="17">
        <v>1</v>
      </c>
      <c r="K29" s="17">
        <v>1</v>
      </c>
      <c r="L29" s="17" t="s">
        <v>57</v>
      </c>
      <c r="M29" s="19">
        <v>5.4</v>
      </c>
      <c r="N29" s="21">
        <f>C29/M29</f>
        <v>0.18518518518518517</v>
      </c>
      <c r="O29" s="21">
        <f>N29*K29*7</f>
        <v>1.2962962962962963</v>
      </c>
      <c r="P29" s="17" t="s">
        <v>57</v>
      </c>
      <c r="Q29" s="19">
        <f>G64</f>
        <v>1056.73</v>
      </c>
      <c r="R29" s="17" t="s">
        <v>57</v>
      </c>
      <c r="S29" s="21">
        <f>Q29*O29</f>
        <v>1369.8351851851851</v>
      </c>
      <c r="T29" s="21" t="s">
        <v>57</v>
      </c>
      <c r="U29" s="21">
        <v>37.07</v>
      </c>
      <c r="V29" s="19"/>
      <c r="W29" s="21">
        <v>8.5</v>
      </c>
      <c r="X29" s="25">
        <f>E29/W29</f>
        <v>0.10588235294117647</v>
      </c>
      <c r="Y29" s="21">
        <f>X29*AC56</f>
        <v>491.50588235294117</v>
      </c>
      <c r="Z29" s="22"/>
      <c r="AA29" s="22"/>
      <c r="AB29" s="21"/>
      <c r="AC29" s="23"/>
    </row>
    <row r="30" spans="1:29" ht="35.25" customHeight="1" x14ac:dyDescent="0.25">
      <c r="A30" s="16" t="s">
        <v>81</v>
      </c>
      <c r="B30" s="17" t="s">
        <v>82</v>
      </c>
      <c r="C30" s="18">
        <v>46620</v>
      </c>
      <c r="D30" s="26" t="s">
        <v>57</v>
      </c>
      <c r="E30" s="17" t="s">
        <v>57</v>
      </c>
      <c r="F30" s="20"/>
      <c r="G30" s="17">
        <v>10</v>
      </c>
      <c r="H30" s="17" t="s">
        <v>83</v>
      </c>
      <c r="I30" s="17" t="s">
        <v>57</v>
      </c>
      <c r="J30" s="17" t="s">
        <v>83</v>
      </c>
      <c r="K30" s="17" t="s">
        <v>83</v>
      </c>
      <c r="L30" s="17">
        <v>15</v>
      </c>
      <c r="M30" s="17">
        <v>500</v>
      </c>
      <c r="N30" s="21">
        <v>1.25</v>
      </c>
      <c r="O30" s="21" t="s">
        <v>83</v>
      </c>
      <c r="P30" s="26">
        <f>N30*L30</f>
        <v>18.75</v>
      </c>
      <c r="Q30" s="17" t="s">
        <v>83</v>
      </c>
      <c r="R30" s="19">
        <f>E61</f>
        <v>627.10899009900993</v>
      </c>
      <c r="S30" s="21" t="s">
        <v>57</v>
      </c>
      <c r="T30" s="21">
        <f>R30*P30</f>
        <v>11758.293564356436</v>
      </c>
      <c r="U30" s="21">
        <v>76738.5</v>
      </c>
      <c r="V30" s="19"/>
      <c r="W30" s="21" t="s">
        <v>83</v>
      </c>
      <c r="X30" s="22" t="s">
        <v>83</v>
      </c>
      <c r="Y30" s="21" t="s">
        <v>83</v>
      </c>
      <c r="Z30" s="27"/>
      <c r="AA30" s="21"/>
      <c r="AB30" s="21"/>
      <c r="AC30" s="23"/>
    </row>
    <row r="31" spans="1:29" ht="35.25" customHeight="1" x14ac:dyDescent="0.25">
      <c r="A31" s="16" t="s">
        <v>84</v>
      </c>
      <c r="B31" s="17" t="s">
        <v>9</v>
      </c>
      <c r="C31" s="19">
        <v>1</v>
      </c>
      <c r="D31" s="26">
        <v>4.9000000000000004</v>
      </c>
      <c r="E31" s="28">
        <v>3.4</v>
      </c>
      <c r="F31" s="20"/>
      <c r="G31" s="17">
        <v>1</v>
      </c>
      <c r="H31" s="17" t="s">
        <v>59</v>
      </c>
      <c r="I31" s="17" t="s">
        <v>80</v>
      </c>
      <c r="J31" s="17">
        <v>1</v>
      </c>
      <c r="K31" s="17">
        <v>1</v>
      </c>
      <c r="L31" s="17" t="s">
        <v>83</v>
      </c>
      <c r="M31" s="17">
        <v>7</v>
      </c>
      <c r="N31" s="21">
        <f>C31/M31</f>
        <v>0.14285714285714285</v>
      </c>
      <c r="O31" s="21">
        <f>N31*K31*7</f>
        <v>1</v>
      </c>
      <c r="P31" s="17" t="s">
        <v>83</v>
      </c>
      <c r="Q31" s="19">
        <f>F64</f>
        <v>923.87</v>
      </c>
      <c r="R31" s="17" t="s">
        <v>83</v>
      </c>
      <c r="S31" s="21">
        <f>Q31*O31</f>
        <v>923.87</v>
      </c>
      <c r="T31" s="21" t="s">
        <v>83</v>
      </c>
      <c r="U31" s="21">
        <v>28.05</v>
      </c>
      <c r="V31" s="19"/>
      <c r="W31" s="21">
        <v>8.5</v>
      </c>
      <c r="X31" s="22">
        <f>E31/W31</f>
        <v>0.39999999999999997</v>
      </c>
      <c r="Y31" s="21">
        <f>X31*AC56</f>
        <v>1856.8</v>
      </c>
      <c r="Z31" s="27"/>
      <c r="AA31" s="21"/>
      <c r="AB31" s="21"/>
      <c r="AC31" s="23"/>
    </row>
    <row r="32" spans="1:29" ht="35.25" customHeight="1" x14ac:dyDescent="0.25">
      <c r="A32" s="16" t="s">
        <v>85</v>
      </c>
      <c r="B32" s="17" t="s">
        <v>9</v>
      </c>
      <c r="C32" s="18">
        <v>1</v>
      </c>
      <c r="D32" s="26">
        <v>4.9000000000000004</v>
      </c>
      <c r="E32" s="28">
        <v>1.5</v>
      </c>
      <c r="F32" s="20"/>
      <c r="G32" s="17">
        <v>1</v>
      </c>
      <c r="H32" s="17" t="s">
        <v>59</v>
      </c>
      <c r="I32" s="17" t="s">
        <v>60</v>
      </c>
      <c r="J32" s="17">
        <v>1</v>
      </c>
      <c r="K32" s="17">
        <v>1</v>
      </c>
      <c r="L32" s="17" t="s">
        <v>83</v>
      </c>
      <c r="M32" s="17">
        <v>16.2</v>
      </c>
      <c r="N32" s="21">
        <f>C32/M32</f>
        <v>6.1728395061728399E-2</v>
      </c>
      <c r="O32" s="21">
        <f>N7:N32*K7:K32*7</f>
        <v>0.4320987654320988</v>
      </c>
      <c r="P32" s="17" t="s">
        <v>83</v>
      </c>
      <c r="Q32" s="26">
        <f>H64</f>
        <v>1228.6300000000001</v>
      </c>
      <c r="R32" s="17" t="s">
        <v>83</v>
      </c>
      <c r="S32" s="21">
        <f>Q32*O32</f>
        <v>530.88950617283956</v>
      </c>
      <c r="T32" s="21" t="s">
        <v>83</v>
      </c>
      <c r="U32" s="21">
        <v>6.75</v>
      </c>
      <c r="V32" s="19"/>
      <c r="W32" s="21">
        <v>8.5</v>
      </c>
      <c r="X32" s="25">
        <f>E32/W32</f>
        <v>0.17647058823529413</v>
      </c>
      <c r="Y32" s="21">
        <f>X32*AC56</f>
        <v>819.17647058823536</v>
      </c>
      <c r="Z32" s="27"/>
      <c r="AA32" s="21"/>
      <c r="AB32" s="21"/>
      <c r="AC32" s="23"/>
    </row>
    <row r="33" spans="1:41" ht="35.25" customHeight="1" x14ac:dyDescent="0.25">
      <c r="A33" s="16" t="s">
        <v>86</v>
      </c>
      <c r="B33" s="17" t="s">
        <v>15</v>
      </c>
      <c r="C33" s="18">
        <v>46620</v>
      </c>
      <c r="D33" s="26" t="s">
        <v>83</v>
      </c>
      <c r="E33" s="1" t="s">
        <v>87</v>
      </c>
      <c r="F33" s="29"/>
      <c r="G33" s="17">
        <v>10</v>
      </c>
      <c r="H33" s="17" t="s">
        <v>83</v>
      </c>
      <c r="I33" s="17" t="s">
        <v>83</v>
      </c>
      <c r="J33" s="17" t="s">
        <v>83</v>
      </c>
      <c r="K33" s="17" t="s">
        <v>88</v>
      </c>
      <c r="L33" s="17">
        <v>15</v>
      </c>
      <c r="M33" s="17">
        <v>500</v>
      </c>
      <c r="N33" s="21">
        <v>1.25</v>
      </c>
      <c r="O33" s="21" t="s">
        <v>83</v>
      </c>
      <c r="P33" s="17">
        <f>N33*L33</f>
        <v>18.75</v>
      </c>
      <c r="Q33" s="17" t="s">
        <v>83</v>
      </c>
      <c r="R33" s="19">
        <f>E61</f>
        <v>627.10899009900993</v>
      </c>
      <c r="S33" s="21" t="s">
        <v>83</v>
      </c>
      <c r="T33" s="21">
        <f>R33*P33</f>
        <v>11758.293564356436</v>
      </c>
      <c r="U33" s="21">
        <v>25209.07</v>
      </c>
      <c r="V33" s="19"/>
      <c r="W33" s="21" t="s">
        <v>83</v>
      </c>
      <c r="X33" s="22" t="s">
        <v>83</v>
      </c>
      <c r="Y33" s="21" t="s">
        <v>83</v>
      </c>
      <c r="Z33" s="27"/>
      <c r="AA33" s="21"/>
      <c r="AB33" s="21"/>
      <c r="AC33" s="23"/>
    </row>
    <row r="34" spans="1:41" ht="35.25" customHeight="1" x14ac:dyDescent="0.25">
      <c r="A34" s="16" t="s">
        <v>89</v>
      </c>
      <c r="B34" s="17" t="s">
        <v>15</v>
      </c>
      <c r="C34" s="18">
        <v>46620</v>
      </c>
      <c r="D34" s="26" t="s">
        <v>83</v>
      </c>
      <c r="E34" s="17" t="s">
        <v>83</v>
      </c>
      <c r="F34" s="20"/>
      <c r="G34" s="17">
        <v>10</v>
      </c>
      <c r="H34" s="17" t="s">
        <v>83</v>
      </c>
      <c r="I34" s="17" t="s">
        <v>83</v>
      </c>
      <c r="J34" s="17" t="s">
        <v>83</v>
      </c>
      <c r="K34" s="17" t="s">
        <v>83</v>
      </c>
      <c r="L34" s="17">
        <v>15</v>
      </c>
      <c r="M34" s="17">
        <v>500</v>
      </c>
      <c r="N34" s="21">
        <v>1.25</v>
      </c>
      <c r="O34" s="21"/>
      <c r="P34" s="17">
        <f>N34*L34</f>
        <v>18.75</v>
      </c>
      <c r="Q34" s="17" t="s">
        <v>83</v>
      </c>
      <c r="R34" s="19">
        <f>E61</f>
        <v>627.10899009900993</v>
      </c>
      <c r="S34" s="21" t="s">
        <v>83</v>
      </c>
      <c r="T34" s="30">
        <f>R34*P34</f>
        <v>11758.293564356436</v>
      </c>
      <c r="U34" s="21">
        <v>63201</v>
      </c>
      <c r="V34" s="19"/>
      <c r="W34" s="21" t="s">
        <v>83</v>
      </c>
      <c r="X34" s="22" t="s">
        <v>83</v>
      </c>
      <c r="Y34" s="21" t="s">
        <v>83</v>
      </c>
      <c r="Z34" s="27"/>
      <c r="AA34" s="21"/>
      <c r="AB34" s="21"/>
      <c r="AC34" s="23"/>
    </row>
    <row r="35" spans="1:41" ht="35.25" customHeight="1" x14ac:dyDescent="0.25">
      <c r="A35" s="16" t="s">
        <v>90</v>
      </c>
      <c r="B35" s="17" t="s">
        <v>15</v>
      </c>
      <c r="C35" s="18">
        <v>46620</v>
      </c>
      <c r="D35" s="26" t="s">
        <v>83</v>
      </c>
      <c r="E35" s="17" t="s">
        <v>83</v>
      </c>
      <c r="F35" s="20"/>
      <c r="G35" s="17">
        <v>10</v>
      </c>
      <c r="H35" s="17" t="s">
        <v>83</v>
      </c>
      <c r="I35" s="17" t="s">
        <v>83</v>
      </c>
      <c r="J35" s="17" t="s">
        <v>83</v>
      </c>
      <c r="K35" s="17" t="s">
        <v>83</v>
      </c>
      <c r="L35" s="17">
        <v>15</v>
      </c>
      <c r="M35" s="17">
        <v>500</v>
      </c>
      <c r="N35" s="21">
        <v>1.25</v>
      </c>
      <c r="O35" s="21" t="s">
        <v>83</v>
      </c>
      <c r="P35" s="26">
        <f>N35*L35</f>
        <v>18.75</v>
      </c>
      <c r="Q35" s="17" t="s">
        <v>83</v>
      </c>
      <c r="R35" s="19">
        <f>E61</f>
        <v>627.10899009900993</v>
      </c>
      <c r="S35" s="21" t="s">
        <v>83</v>
      </c>
      <c r="T35" s="21">
        <f>R35*P35</f>
        <v>11758.293564356436</v>
      </c>
      <c r="U35" s="21">
        <v>21066.85</v>
      </c>
      <c r="V35" s="19"/>
      <c r="W35" s="21" t="s">
        <v>83</v>
      </c>
      <c r="X35" s="22" t="s">
        <v>83</v>
      </c>
      <c r="Y35" s="21"/>
      <c r="Z35" s="27"/>
      <c r="AA35" s="21"/>
      <c r="AB35" s="21"/>
      <c r="AC35" s="23"/>
    </row>
    <row r="36" spans="1:41" ht="35.25" customHeight="1" x14ac:dyDescent="0.25">
      <c r="A36" s="16" t="s">
        <v>91</v>
      </c>
      <c r="B36" s="17" t="s">
        <v>9</v>
      </c>
      <c r="C36" s="18">
        <v>1</v>
      </c>
      <c r="D36" s="26">
        <v>4.9000000000000004</v>
      </c>
      <c r="E36" s="17">
        <v>3.3</v>
      </c>
      <c r="F36" s="20"/>
      <c r="G36" s="17">
        <v>1</v>
      </c>
      <c r="H36" s="17" t="s">
        <v>92</v>
      </c>
      <c r="I36" s="17" t="s">
        <v>80</v>
      </c>
      <c r="J36" s="17">
        <v>1</v>
      </c>
      <c r="K36" s="17">
        <v>1</v>
      </c>
      <c r="L36" s="17" t="s">
        <v>83</v>
      </c>
      <c r="M36" s="17">
        <v>7.3</v>
      </c>
      <c r="N36" s="21">
        <f>C36/M36</f>
        <v>0.13698630136986301</v>
      </c>
      <c r="O36" s="21">
        <f>N36*K36*7</f>
        <v>0.95890410958904104</v>
      </c>
      <c r="P36" s="17" t="s">
        <v>83</v>
      </c>
      <c r="Q36" s="19">
        <f>F64</f>
        <v>923.87</v>
      </c>
      <c r="R36" s="17" t="s">
        <v>83</v>
      </c>
      <c r="S36" s="21">
        <f>Q36*O36</f>
        <v>885.90273972602733</v>
      </c>
      <c r="T36" s="21" t="s">
        <v>83</v>
      </c>
      <c r="U36" s="21">
        <v>28.05</v>
      </c>
      <c r="V36" s="19"/>
      <c r="W36" s="21">
        <v>8.5</v>
      </c>
      <c r="X36" s="25">
        <f>E36/W36</f>
        <v>0.38823529411764701</v>
      </c>
      <c r="Y36" s="21">
        <f>X36*AC56</f>
        <v>1802.1882352941175</v>
      </c>
      <c r="Z36" s="27"/>
      <c r="AA36" s="21"/>
      <c r="AB36" s="21"/>
      <c r="AC36" s="23"/>
    </row>
    <row r="37" spans="1:41" ht="35.25" customHeight="1" x14ac:dyDescent="0.25">
      <c r="A37" s="16" t="s">
        <v>93</v>
      </c>
      <c r="B37" s="17" t="s">
        <v>9</v>
      </c>
      <c r="C37" s="18">
        <v>1</v>
      </c>
      <c r="D37" s="26">
        <v>4.9000000000000004</v>
      </c>
      <c r="E37" s="17">
        <v>3.4</v>
      </c>
      <c r="F37" s="20"/>
      <c r="G37" s="17">
        <v>1</v>
      </c>
      <c r="H37" s="17" t="s">
        <v>92</v>
      </c>
      <c r="I37" s="17" t="s">
        <v>80</v>
      </c>
      <c r="J37" s="17">
        <v>1</v>
      </c>
      <c r="K37" s="17">
        <v>1</v>
      </c>
      <c r="L37" s="17" t="s">
        <v>83</v>
      </c>
      <c r="M37" s="17">
        <v>7.3</v>
      </c>
      <c r="N37" s="21">
        <f>C37/M37</f>
        <v>0.13698630136986301</v>
      </c>
      <c r="O37" s="21">
        <f>N12:N37*K12:K37*7</f>
        <v>0.95890410958904104</v>
      </c>
      <c r="P37" s="17" t="s">
        <v>94</v>
      </c>
      <c r="Q37" s="19">
        <f>F64</f>
        <v>923.87</v>
      </c>
      <c r="R37" s="17" t="s">
        <v>83</v>
      </c>
      <c r="S37" s="21">
        <f>Q37*O37</f>
        <v>885.90273972602733</v>
      </c>
      <c r="T37" s="21" t="s">
        <v>83</v>
      </c>
      <c r="U37" s="21">
        <v>20.02</v>
      </c>
      <c r="V37" s="19"/>
      <c r="W37" s="21">
        <v>8.5</v>
      </c>
      <c r="X37" s="22">
        <f>E37/W37</f>
        <v>0.39999999999999997</v>
      </c>
      <c r="Y37" s="21">
        <f>X37*AC56</f>
        <v>1856.8</v>
      </c>
      <c r="Z37" s="27"/>
      <c r="AA37" s="21"/>
      <c r="AB37" s="21"/>
      <c r="AC37" s="23"/>
    </row>
    <row r="38" spans="1:41" ht="35.25" customHeight="1" x14ac:dyDescent="0.25">
      <c r="A38" s="16" t="s">
        <v>95</v>
      </c>
      <c r="B38" s="17" t="s">
        <v>9</v>
      </c>
      <c r="C38" s="18">
        <v>1</v>
      </c>
      <c r="D38" s="26">
        <v>4.9000000000000004</v>
      </c>
      <c r="E38" s="17">
        <v>1.5</v>
      </c>
      <c r="F38" s="20"/>
      <c r="G38" s="17">
        <v>1</v>
      </c>
      <c r="H38" s="17" t="s">
        <v>92</v>
      </c>
      <c r="I38" s="17" t="s">
        <v>60</v>
      </c>
      <c r="J38" s="17">
        <v>1</v>
      </c>
      <c r="K38" s="17">
        <v>1</v>
      </c>
      <c r="L38" s="17" t="s">
        <v>83</v>
      </c>
      <c r="M38" s="17">
        <v>16.2</v>
      </c>
      <c r="N38" s="21">
        <f>C38/M38</f>
        <v>6.1728395061728399E-2</v>
      </c>
      <c r="O38" s="21">
        <f>N13:N38*K13:K38*7</f>
        <v>0.4320987654320988</v>
      </c>
      <c r="P38" s="17" t="s">
        <v>83</v>
      </c>
      <c r="Q38" s="26">
        <f>H64</f>
        <v>1228.6300000000001</v>
      </c>
      <c r="R38" s="17" t="s">
        <v>83</v>
      </c>
      <c r="S38" s="21">
        <f>Q38*O38</f>
        <v>530.88950617283956</v>
      </c>
      <c r="T38" s="21"/>
      <c r="U38" s="21">
        <v>13.05</v>
      </c>
      <c r="V38" s="19"/>
      <c r="W38" s="21">
        <v>8.5</v>
      </c>
      <c r="X38" s="25">
        <f>E38/W38</f>
        <v>0.17647058823529413</v>
      </c>
      <c r="Y38" s="21">
        <f>X38*AC56</f>
        <v>819.17647058823536</v>
      </c>
      <c r="Z38" s="27"/>
      <c r="AA38" s="21"/>
      <c r="AB38" s="21"/>
      <c r="AC38" s="23"/>
    </row>
    <row r="39" spans="1:41" ht="35.25" customHeight="1" x14ac:dyDescent="0.25">
      <c r="A39" s="16" t="s">
        <v>96</v>
      </c>
      <c r="B39" s="17" t="s">
        <v>9</v>
      </c>
      <c r="C39" s="18">
        <v>1</v>
      </c>
      <c r="D39" s="26">
        <v>4.9000000000000004</v>
      </c>
      <c r="E39" s="17">
        <v>1.5</v>
      </c>
      <c r="F39" s="20"/>
      <c r="G39" s="17">
        <v>1</v>
      </c>
      <c r="H39" s="17" t="s">
        <v>92</v>
      </c>
      <c r="I39" s="17" t="s">
        <v>60</v>
      </c>
      <c r="J39" s="17">
        <v>1</v>
      </c>
      <c r="K39" s="17">
        <v>1</v>
      </c>
      <c r="L39" s="17" t="s">
        <v>83</v>
      </c>
      <c r="M39" s="17">
        <v>16.2</v>
      </c>
      <c r="N39" s="21">
        <f>C39/M39</f>
        <v>6.1728395061728399E-2</v>
      </c>
      <c r="O39" s="21">
        <f>N14:N39*K14:K39*7</f>
        <v>0.4320987654320988</v>
      </c>
      <c r="P39" s="17" t="s">
        <v>83</v>
      </c>
      <c r="Q39" s="26">
        <f>H64</f>
        <v>1228.6300000000001</v>
      </c>
      <c r="R39" s="17" t="s">
        <v>83</v>
      </c>
      <c r="S39" s="21">
        <f>Q39*O39</f>
        <v>530.88950617283956</v>
      </c>
      <c r="T39" s="21"/>
      <c r="U39" s="21">
        <v>21.75</v>
      </c>
      <c r="V39" s="19"/>
      <c r="W39" s="21">
        <v>8.5</v>
      </c>
      <c r="X39" s="25">
        <f>E39/W39</f>
        <v>0.17647058823529413</v>
      </c>
      <c r="Y39" s="21">
        <f>X39*AC56</f>
        <v>819.17647058823536</v>
      </c>
      <c r="Z39" s="27"/>
      <c r="AA39" s="21"/>
      <c r="AB39" s="21"/>
      <c r="AC39" s="23"/>
    </row>
    <row r="40" spans="1:41" ht="35.25" customHeight="1" x14ac:dyDescent="0.25">
      <c r="A40" s="16" t="s">
        <v>97</v>
      </c>
      <c r="B40" s="17" t="s">
        <v>15</v>
      </c>
      <c r="C40" s="18">
        <v>46620</v>
      </c>
      <c r="D40" s="26" t="s">
        <v>83</v>
      </c>
      <c r="E40" s="17" t="s">
        <v>83</v>
      </c>
      <c r="F40" s="20"/>
      <c r="G40" s="17">
        <v>10</v>
      </c>
      <c r="H40" s="17" t="s">
        <v>83</v>
      </c>
      <c r="I40" s="17" t="s">
        <v>83</v>
      </c>
      <c r="J40" s="17" t="s">
        <v>83</v>
      </c>
      <c r="K40" s="17" t="s">
        <v>83</v>
      </c>
      <c r="L40" s="17">
        <v>15</v>
      </c>
      <c r="M40" s="17">
        <v>500</v>
      </c>
      <c r="N40" s="21">
        <v>1.25</v>
      </c>
      <c r="O40" s="21"/>
      <c r="P40" s="17">
        <f>N40*L40*7</f>
        <v>131.25</v>
      </c>
      <c r="Q40" s="17" t="s">
        <v>83</v>
      </c>
      <c r="R40" s="19">
        <f>E61</f>
        <v>627.10899009900993</v>
      </c>
      <c r="S40" s="21" t="s">
        <v>83</v>
      </c>
      <c r="T40" s="21">
        <f>P40*R40</f>
        <v>82308.054950495047</v>
      </c>
      <c r="U40" s="21">
        <v>63190.89</v>
      </c>
      <c r="V40" s="19"/>
      <c r="W40" s="21" t="s">
        <v>83</v>
      </c>
      <c r="X40" s="22" t="s">
        <v>83</v>
      </c>
      <c r="Y40" s="21" t="s">
        <v>83</v>
      </c>
      <c r="Z40" s="27"/>
      <c r="AA40" s="21"/>
      <c r="AB40" s="21"/>
      <c r="AC40" s="23"/>
    </row>
    <row r="41" spans="1:41" s="38" customFormat="1" ht="20.25" customHeight="1" x14ac:dyDescent="0.25">
      <c r="A41" s="31" t="s">
        <v>98</v>
      </c>
      <c r="B41" s="32" t="s">
        <v>15</v>
      </c>
      <c r="C41" s="33">
        <v>46620</v>
      </c>
      <c r="D41" s="34" t="s">
        <v>57</v>
      </c>
      <c r="E41" s="32" t="s">
        <v>83</v>
      </c>
      <c r="F41" s="35"/>
      <c r="G41" s="32">
        <v>10</v>
      </c>
      <c r="H41" s="32" t="s">
        <v>57</v>
      </c>
      <c r="I41" s="32" t="s">
        <v>83</v>
      </c>
      <c r="J41" s="32" t="s">
        <v>83</v>
      </c>
      <c r="K41" s="32" t="s">
        <v>83</v>
      </c>
      <c r="L41" s="32">
        <v>15</v>
      </c>
      <c r="M41" s="32">
        <v>500</v>
      </c>
      <c r="N41" s="34">
        <v>1.25</v>
      </c>
      <c r="O41" s="21"/>
      <c r="P41" s="32">
        <f>N41*L41*7</f>
        <v>131.25</v>
      </c>
      <c r="Q41" s="32" t="s">
        <v>57</v>
      </c>
      <c r="R41" s="36">
        <f>E61</f>
        <v>627.10899009900993</v>
      </c>
      <c r="S41" s="36" t="s">
        <v>57</v>
      </c>
      <c r="T41" s="34">
        <f>R41*P41</f>
        <v>82308.054950495047</v>
      </c>
      <c r="U41" s="36">
        <v>46701.75</v>
      </c>
      <c r="V41" s="36"/>
      <c r="W41" s="32" t="s">
        <v>83</v>
      </c>
      <c r="X41" s="32" t="s">
        <v>83</v>
      </c>
      <c r="Y41" s="36" t="s">
        <v>83</v>
      </c>
      <c r="Z41" s="32"/>
      <c r="AA41" s="32"/>
      <c r="AB41" s="36"/>
      <c r="AC41" s="37"/>
    </row>
    <row r="42" spans="1:41" ht="30.75" customHeight="1" x14ac:dyDescent="0.2">
      <c r="A42" s="39" t="s">
        <v>99</v>
      </c>
      <c r="B42" s="42" t="s">
        <v>100</v>
      </c>
      <c r="C42" s="42" t="s">
        <v>100</v>
      </c>
      <c r="D42" s="42" t="s">
        <v>100</v>
      </c>
      <c r="E42" s="40">
        <f>SUM(E18:E41)</f>
        <v>32.4</v>
      </c>
      <c r="F42" s="41" t="s">
        <v>100</v>
      </c>
      <c r="G42" s="42" t="s">
        <v>100</v>
      </c>
      <c r="H42" s="42" t="s">
        <v>100</v>
      </c>
      <c r="I42" s="42" t="s">
        <v>100</v>
      </c>
      <c r="J42" s="42" t="s">
        <v>100</v>
      </c>
      <c r="K42" s="42" t="s">
        <v>100</v>
      </c>
      <c r="L42" s="42" t="s">
        <v>100</v>
      </c>
      <c r="M42" s="42" t="s">
        <v>100</v>
      </c>
      <c r="N42" s="43">
        <f>SUM(N18:N41)</f>
        <v>16.144191825389647</v>
      </c>
      <c r="O42" s="40">
        <f>SUM(O18:O41)</f>
        <v>47.6401120084968</v>
      </c>
      <c r="P42" s="40">
        <f>SUM(P27:P41)</f>
        <v>367.5</v>
      </c>
      <c r="Q42" s="44">
        <f>SUM(Q18:Q41)</f>
        <v>15609.890000000003</v>
      </c>
      <c r="R42" s="44">
        <f>SUM(R27:R41)</f>
        <v>4389.7629306930694</v>
      </c>
      <c r="S42" s="40">
        <f>SUM(S18:S41)</f>
        <v>42623.52420785444</v>
      </c>
      <c r="T42" s="40">
        <f>SUM(T27:T41)</f>
        <v>230462.55386138611</v>
      </c>
      <c r="U42" s="40">
        <f>SUM(U18:U41)</f>
        <v>299209.17</v>
      </c>
      <c r="V42" s="40"/>
      <c r="W42" s="45"/>
      <c r="X42" s="40"/>
      <c r="Y42" s="40">
        <f>SUM(Y18:Y41)</f>
        <v>17763.526696832574</v>
      </c>
      <c r="Z42" s="40"/>
      <c r="AA42" s="40"/>
      <c r="AB42" s="40"/>
      <c r="AC42" s="46"/>
    </row>
    <row r="43" spans="1:41" ht="21.75" customHeight="1" x14ac:dyDescent="0.2">
      <c r="A43" s="47" t="s">
        <v>101</v>
      </c>
      <c r="B43" s="48" t="s">
        <v>100</v>
      </c>
      <c r="C43" s="44" t="s">
        <v>100</v>
      </c>
      <c r="D43" s="44" t="s">
        <v>100</v>
      </c>
      <c r="E43" s="44" t="s">
        <v>100</v>
      </c>
      <c r="F43" s="44" t="s">
        <v>100</v>
      </c>
      <c r="G43" s="44" t="s">
        <v>100</v>
      </c>
      <c r="H43" s="44" t="s">
        <v>100</v>
      </c>
      <c r="I43" s="44" t="s">
        <v>100</v>
      </c>
      <c r="J43" s="44" t="s">
        <v>100</v>
      </c>
      <c r="K43" s="44" t="s">
        <v>100</v>
      </c>
      <c r="L43" s="44" t="s">
        <v>100</v>
      </c>
      <c r="M43" s="44" t="s">
        <v>100</v>
      </c>
      <c r="N43" s="43">
        <f>N42/1</f>
        <v>16.144191825389647</v>
      </c>
      <c r="O43" s="40"/>
      <c r="P43" s="40"/>
      <c r="Q43" s="44" t="s">
        <v>100</v>
      </c>
      <c r="R43" s="44" t="s">
        <v>100</v>
      </c>
      <c r="S43" s="40"/>
      <c r="T43" s="40"/>
      <c r="U43" s="40"/>
      <c r="V43" s="40"/>
      <c r="W43" s="40" t="s">
        <v>100</v>
      </c>
      <c r="X43" s="40"/>
      <c r="Y43" s="40"/>
      <c r="Z43" s="40"/>
      <c r="AA43" s="40"/>
      <c r="AB43" s="40"/>
      <c r="AC43" s="46"/>
    </row>
    <row r="44" spans="1:41" ht="12.75" customHeight="1" x14ac:dyDescent="0.2">
      <c r="A44" s="4"/>
      <c r="B44" s="52"/>
      <c r="C44" s="52"/>
      <c r="D44" s="52"/>
      <c r="E44" s="49"/>
      <c r="F44" s="50"/>
      <c r="G44" s="52"/>
      <c r="H44" s="51"/>
      <c r="I44" s="51"/>
      <c r="J44" s="51"/>
      <c r="K44" s="52"/>
      <c r="L44" s="52"/>
      <c r="M44" s="52"/>
      <c r="N44" s="49"/>
      <c r="O44" s="49"/>
      <c r="P44" s="49"/>
      <c r="Q44" s="49"/>
      <c r="R44" s="49"/>
      <c r="S44" s="49"/>
      <c r="T44" s="49"/>
      <c r="U44" s="49"/>
      <c r="V44" s="52"/>
      <c r="W44" s="52"/>
      <c r="X44" s="49"/>
      <c r="Y44" s="49"/>
      <c r="Z44" s="52"/>
      <c r="AA44" s="52"/>
      <c r="AB44" s="49"/>
      <c r="AC44" s="49"/>
    </row>
    <row r="45" spans="1:41" ht="31.5" customHeight="1" x14ac:dyDescent="0.2">
      <c r="A45" s="4" t="s">
        <v>102</v>
      </c>
      <c r="B45" s="4" t="s">
        <v>103</v>
      </c>
      <c r="C45" s="4" t="s">
        <v>104</v>
      </c>
      <c r="D45" s="97"/>
      <c r="E45" s="97"/>
      <c r="F45" s="97"/>
      <c r="G45" s="97" t="s">
        <v>105</v>
      </c>
      <c r="H45" s="97"/>
      <c r="I45" s="51"/>
      <c r="J45" s="90" t="s">
        <v>106</v>
      </c>
      <c r="K45" s="90"/>
      <c r="L45" s="90"/>
      <c r="M45" s="90"/>
      <c r="N45" s="97" t="s">
        <v>107</v>
      </c>
      <c r="O45" s="97"/>
      <c r="P45" s="97" t="s">
        <v>108</v>
      </c>
      <c r="Q45" s="97"/>
      <c r="R45" s="98"/>
      <c r="S45" s="98"/>
      <c r="T45" s="98"/>
      <c r="U45" s="98"/>
      <c r="V45" s="97" t="s">
        <v>107</v>
      </c>
      <c r="W45" s="97"/>
      <c r="X45" s="97" t="s">
        <v>108</v>
      </c>
      <c r="Y45" s="97"/>
      <c r="Z45" s="97" t="s">
        <v>109</v>
      </c>
      <c r="AA45" s="97"/>
      <c r="AB45" s="91" t="s">
        <v>110</v>
      </c>
      <c r="AC45" s="91"/>
    </row>
    <row r="46" spans="1:41" ht="27" customHeight="1" x14ac:dyDescent="0.2">
      <c r="A46" s="53" t="s">
        <v>111</v>
      </c>
      <c r="B46" s="4" t="s">
        <v>57</v>
      </c>
      <c r="C46" s="4">
        <f>C47+C48+C54</f>
        <v>79700</v>
      </c>
      <c r="D46" s="97"/>
      <c r="E46" s="97"/>
      <c r="F46" s="97"/>
      <c r="G46" s="4" t="s">
        <v>112</v>
      </c>
      <c r="H46" s="4" t="s">
        <v>113</v>
      </c>
      <c r="I46" s="51"/>
      <c r="J46" s="90" t="s">
        <v>114</v>
      </c>
      <c r="K46" s="90"/>
      <c r="L46" s="90"/>
      <c r="M46" s="90"/>
      <c r="N46" s="91">
        <v>62234.98</v>
      </c>
      <c r="O46" s="91"/>
      <c r="P46" s="91">
        <f>T42</f>
        <v>230462.55386138611</v>
      </c>
      <c r="Q46" s="91"/>
      <c r="R46" s="90" t="s">
        <v>115</v>
      </c>
      <c r="S46" s="90"/>
      <c r="T46" s="90"/>
      <c r="U46" s="90"/>
      <c r="V46" s="91">
        <f>(N46+N52+N53+N54)</f>
        <v>380166.24385565345</v>
      </c>
      <c r="W46" s="91"/>
      <c r="X46" s="91">
        <f>P46+P52+P53+P54</f>
        <v>1861337.6979813138</v>
      </c>
      <c r="Y46" s="91"/>
      <c r="Z46" s="97"/>
      <c r="AA46" s="97"/>
      <c r="AB46" s="91"/>
      <c r="AC46" s="91"/>
    </row>
    <row r="47" spans="1:41" s="8" customFormat="1" ht="12.75" customHeight="1" x14ac:dyDescent="0.2">
      <c r="A47" s="53" t="s">
        <v>116</v>
      </c>
      <c r="B47" s="4">
        <v>600</v>
      </c>
      <c r="C47" s="4">
        <v>6000</v>
      </c>
      <c r="D47" s="90" t="s">
        <v>117</v>
      </c>
      <c r="E47" s="90"/>
      <c r="F47" s="90"/>
      <c r="G47" s="55">
        <v>303</v>
      </c>
      <c r="H47" s="54">
        <v>9938.4</v>
      </c>
      <c r="I47" s="6"/>
      <c r="J47" s="90" t="s">
        <v>118</v>
      </c>
      <c r="K47" s="90"/>
      <c r="L47" s="90"/>
      <c r="M47" s="90"/>
      <c r="N47" s="91">
        <f>N46*1</f>
        <v>62234.98</v>
      </c>
      <c r="O47" s="91"/>
      <c r="P47" s="91">
        <f>P46*1</f>
        <v>230462.55386138611</v>
      </c>
      <c r="Q47" s="91"/>
      <c r="R47" s="90" t="s">
        <v>119</v>
      </c>
      <c r="S47" s="90"/>
      <c r="T47" s="90"/>
      <c r="U47" s="90"/>
      <c r="V47" s="91">
        <f>V46*0.321</f>
        <v>122033.36427766476</v>
      </c>
      <c r="W47" s="91"/>
      <c r="X47" s="91">
        <f>X46*0.321</f>
        <v>597489.40105200175</v>
      </c>
      <c r="Y47" s="91"/>
      <c r="Z47" s="95">
        <f>(V52-AB47)/AB4</f>
        <v>111.88919033646971</v>
      </c>
      <c r="AA47" s="95"/>
      <c r="AB47" s="91">
        <f>Y39+S39+E39+H47+H50</f>
        <v>21457.965976761076</v>
      </c>
      <c r="AC47" s="91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</row>
    <row r="48" spans="1:41" ht="12.75" customHeight="1" x14ac:dyDescent="0.2">
      <c r="A48" s="53" t="s">
        <v>120</v>
      </c>
      <c r="B48" s="4">
        <v>4</v>
      </c>
      <c r="C48" s="4">
        <v>11200</v>
      </c>
      <c r="D48" s="90" t="s">
        <v>121</v>
      </c>
      <c r="E48" s="90"/>
      <c r="F48" s="90"/>
      <c r="G48" s="56">
        <v>303</v>
      </c>
      <c r="H48" s="54"/>
      <c r="I48" s="51"/>
      <c r="J48" s="90" t="s">
        <v>122</v>
      </c>
      <c r="K48" s="90"/>
      <c r="L48" s="90"/>
      <c r="M48" s="90"/>
      <c r="N48" s="91">
        <v>1028.1199999999999</v>
      </c>
      <c r="O48" s="91"/>
      <c r="P48" s="91">
        <v>296108.69</v>
      </c>
      <c r="Q48" s="91"/>
      <c r="R48" s="90" t="s">
        <v>123</v>
      </c>
      <c r="S48" s="90"/>
      <c r="T48" s="90"/>
      <c r="U48" s="90"/>
      <c r="V48" s="91">
        <v>675314.99</v>
      </c>
      <c r="W48" s="91"/>
      <c r="X48" s="91">
        <f>X46+X47</f>
        <v>2458827.0990333157</v>
      </c>
      <c r="Y48" s="91"/>
      <c r="Z48" s="95"/>
      <c r="AA48" s="95"/>
      <c r="AB48" s="91"/>
      <c r="AC48" s="91"/>
    </row>
    <row r="49" spans="1:29" ht="12.75" customHeight="1" x14ac:dyDescent="0.2">
      <c r="A49" s="53" t="s">
        <v>124</v>
      </c>
      <c r="B49" s="4">
        <v>12.6</v>
      </c>
      <c r="C49" s="4">
        <v>16000</v>
      </c>
      <c r="D49" s="90" t="s">
        <v>125</v>
      </c>
      <c r="E49" s="90"/>
      <c r="F49" s="90"/>
      <c r="G49" s="56">
        <v>0</v>
      </c>
      <c r="H49" s="54"/>
      <c r="I49" s="52"/>
      <c r="J49" s="90" t="s">
        <v>126</v>
      </c>
      <c r="K49" s="90"/>
      <c r="L49" s="90"/>
      <c r="M49" s="90"/>
      <c r="N49" s="91">
        <f>N46-100*0.6</f>
        <v>62174.98</v>
      </c>
      <c r="O49" s="91"/>
      <c r="P49" s="91">
        <f>P47-100*0.6</f>
        <v>230402.55386138611</v>
      </c>
      <c r="Q49" s="91"/>
      <c r="R49" s="90" t="s">
        <v>127</v>
      </c>
      <c r="S49" s="90"/>
      <c r="T49" s="90"/>
      <c r="U49" s="90"/>
      <c r="V49" s="91">
        <f>Y42+V48+X48+H47+H50+C46+C53</f>
        <v>3561712.0157301482</v>
      </c>
      <c r="W49" s="91"/>
      <c r="X49" s="91"/>
      <c r="Y49" s="91"/>
      <c r="Z49" s="3"/>
      <c r="AA49" s="3"/>
      <c r="AB49" s="3"/>
      <c r="AC49" s="3"/>
    </row>
    <row r="50" spans="1:29" ht="12.75" customHeight="1" x14ac:dyDescent="0.2">
      <c r="A50" s="53" t="s">
        <v>128</v>
      </c>
      <c r="B50" s="4" t="s">
        <v>57</v>
      </c>
      <c r="C50" s="4" t="s">
        <v>57</v>
      </c>
      <c r="D50" s="90" t="s">
        <v>129</v>
      </c>
      <c r="E50" s="90"/>
      <c r="F50" s="90"/>
      <c r="G50" s="56">
        <v>310</v>
      </c>
      <c r="H50" s="54">
        <v>10168</v>
      </c>
      <c r="I50" s="52"/>
      <c r="J50" s="90" t="s">
        <v>130</v>
      </c>
      <c r="K50" s="90"/>
      <c r="L50" s="90"/>
      <c r="M50" s="90"/>
      <c r="N50" s="91">
        <v>6223.5</v>
      </c>
      <c r="O50" s="91"/>
      <c r="P50" s="91">
        <v>18013.8</v>
      </c>
      <c r="Q50" s="91"/>
      <c r="R50" s="90" t="s">
        <v>131</v>
      </c>
      <c r="S50" s="90"/>
      <c r="T50" s="90"/>
      <c r="U50" s="90"/>
      <c r="V50" s="91">
        <f>(V49-C53)*0.15</f>
        <v>487756.8023595222</v>
      </c>
      <c r="W50" s="91"/>
      <c r="X50" s="91"/>
      <c r="Y50" s="91"/>
      <c r="Z50" s="3"/>
      <c r="AA50" s="3"/>
      <c r="AB50" s="3"/>
      <c r="AC50" s="3"/>
    </row>
    <row r="51" spans="1:29" ht="12.75" customHeight="1" x14ac:dyDescent="0.2">
      <c r="A51" s="53" t="s">
        <v>132</v>
      </c>
      <c r="B51" s="4">
        <v>88</v>
      </c>
      <c r="C51" s="4">
        <v>23481.88</v>
      </c>
      <c r="D51" s="90" t="s">
        <v>121</v>
      </c>
      <c r="E51" s="90"/>
      <c r="F51" s="90"/>
      <c r="G51" s="4">
        <v>310</v>
      </c>
      <c r="H51" s="54"/>
      <c r="I51" s="52"/>
      <c r="J51" s="90" t="s">
        <v>133</v>
      </c>
      <c r="K51" s="90"/>
      <c r="L51" s="90"/>
      <c r="M51" s="90"/>
      <c r="N51" s="91">
        <f>S42*0.833</f>
        <v>35505.395665142743</v>
      </c>
      <c r="O51" s="91"/>
      <c r="P51" s="91">
        <f>T42*0.833</f>
        <v>191975.30736653463</v>
      </c>
      <c r="Q51" s="91"/>
      <c r="R51" s="90" t="s">
        <v>134</v>
      </c>
      <c r="S51" s="90"/>
      <c r="T51" s="90"/>
      <c r="U51" s="90"/>
      <c r="V51" s="92">
        <f>V49+V50</f>
        <v>4049468.8180896705</v>
      </c>
      <c r="W51" s="92"/>
      <c r="X51" s="92"/>
      <c r="Y51" s="92"/>
      <c r="Z51" s="3"/>
      <c r="AA51" s="3"/>
      <c r="AB51" s="3"/>
      <c r="AC51" s="3"/>
    </row>
    <row r="52" spans="1:29" ht="12.75" customHeight="1" x14ac:dyDescent="0.2">
      <c r="A52" s="53" t="s">
        <v>135</v>
      </c>
      <c r="B52" s="4">
        <v>4.0000000000000001E-3</v>
      </c>
      <c r="C52" s="4">
        <v>4110.3999999999996</v>
      </c>
      <c r="D52" s="93"/>
      <c r="E52" s="93"/>
      <c r="F52" s="93"/>
      <c r="G52" s="52"/>
      <c r="H52" s="49"/>
      <c r="I52" s="52"/>
      <c r="J52" s="94" t="s">
        <v>136</v>
      </c>
      <c r="K52" s="94"/>
      <c r="L52" s="94"/>
      <c r="M52" s="94"/>
      <c r="N52" s="91">
        <f>SUM(N46:O51)</f>
        <v>229401.95566514274</v>
      </c>
      <c r="O52" s="91"/>
      <c r="P52" s="91">
        <f>SUM(P46:Q51)</f>
        <v>1197425.458950693</v>
      </c>
      <c r="Q52" s="91"/>
      <c r="R52" s="90" t="s">
        <v>137</v>
      </c>
      <c r="S52" s="90"/>
      <c r="T52" s="90"/>
      <c r="U52" s="90"/>
      <c r="V52" s="57">
        <f>V51/U4</f>
        <v>4049468.8180896705</v>
      </c>
      <c r="W52" s="58"/>
      <c r="X52" s="91"/>
      <c r="Y52" s="91"/>
      <c r="Z52" s="3"/>
      <c r="AA52" s="3"/>
      <c r="AB52" s="3"/>
      <c r="AC52" s="3"/>
    </row>
    <row r="53" spans="1:29" ht="12.75" customHeight="1" x14ac:dyDescent="0.2">
      <c r="A53" s="53" t="s">
        <v>138</v>
      </c>
      <c r="B53" s="4">
        <v>15.54</v>
      </c>
      <c r="C53" s="4">
        <v>310000</v>
      </c>
      <c r="D53" s="52"/>
      <c r="E53" s="49"/>
      <c r="F53" s="50"/>
      <c r="G53" s="52"/>
      <c r="H53" s="52"/>
      <c r="I53" s="52"/>
      <c r="J53" s="90" t="s">
        <v>139</v>
      </c>
      <c r="K53" s="90"/>
      <c r="L53" s="90"/>
      <c r="M53" s="90"/>
      <c r="N53" s="91">
        <f>(N46+N52)*0.0863</f>
        <v>25168.267547901818</v>
      </c>
      <c r="O53" s="91"/>
      <c r="P53" s="91">
        <f>(P46+P52)*0.0863</f>
        <v>123226.73550568243</v>
      </c>
      <c r="Q53" s="91"/>
      <c r="R53" s="90" t="s">
        <v>140</v>
      </c>
      <c r="S53" s="90"/>
      <c r="T53" s="90"/>
      <c r="U53" s="90"/>
      <c r="V53" s="57">
        <f>V52/AB4</f>
        <v>112.4852449469353</v>
      </c>
      <c r="W53" s="58"/>
      <c r="X53" s="91"/>
      <c r="Y53" s="91"/>
      <c r="Z53" s="3"/>
      <c r="AA53" s="3"/>
      <c r="AB53" s="3"/>
      <c r="AC53" s="3"/>
    </row>
    <row r="54" spans="1:29" ht="19.5" customHeight="1" x14ac:dyDescent="0.2">
      <c r="A54" s="53" t="s">
        <v>141</v>
      </c>
      <c r="B54" s="4">
        <v>625</v>
      </c>
      <c r="C54" s="4">
        <v>62500</v>
      </c>
      <c r="D54" s="59"/>
      <c r="E54" s="60"/>
      <c r="F54" s="11"/>
      <c r="G54" s="52"/>
      <c r="H54" s="52"/>
      <c r="I54" s="52"/>
      <c r="J54" s="90" t="s">
        <v>142</v>
      </c>
      <c r="K54" s="90"/>
      <c r="L54" s="90"/>
      <c r="M54" s="90"/>
      <c r="N54" s="91">
        <f>(N46+N52+N53)*0.2</f>
        <v>63361.040642608918</v>
      </c>
      <c r="O54" s="91"/>
      <c r="P54" s="91">
        <f>(P46+P52+P53)*0.2</f>
        <v>310222.94966355234</v>
      </c>
      <c r="Q54" s="91"/>
      <c r="R54" s="52"/>
      <c r="S54" s="49"/>
      <c r="T54" s="49"/>
      <c r="U54" s="52"/>
      <c r="V54" s="52"/>
      <c r="W54" s="52"/>
      <c r="X54" s="49"/>
      <c r="Y54" s="49"/>
      <c r="Z54" s="49"/>
      <c r="AA54" s="49"/>
      <c r="AB54" s="52"/>
      <c r="AC54" s="49"/>
    </row>
    <row r="55" spans="1:29" ht="12.75" customHeight="1" x14ac:dyDescent="0.2">
      <c r="A55" s="61"/>
      <c r="B55" s="11"/>
      <c r="C55" s="62"/>
      <c r="D55" s="51"/>
      <c r="E55" s="11"/>
      <c r="F55" s="11"/>
      <c r="G55" s="52"/>
      <c r="H55" s="52"/>
      <c r="I55" s="52"/>
      <c r="J55" s="52"/>
      <c r="K55" s="52"/>
      <c r="L55" s="52"/>
      <c r="M55" s="52"/>
      <c r="N55" s="49"/>
      <c r="O55" s="49"/>
      <c r="P55" s="49"/>
      <c r="Q55" s="52"/>
      <c r="R55" s="49"/>
      <c r="S55" s="49"/>
      <c r="T55" s="49"/>
      <c r="U55" s="52"/>
      <c r="V55" s="52"/>
      <c r="W55" s="52"/>
      <c r="X55" s="49"/>
      <c r="Y55" s="49"/>
      <c r="Z55" s="52"/>
      <c r="AA55" s="52"/>
      <c r="AB55" s="52"/>
      <c r="AC55" s="49"/>
    </row>
    <row r="56" spans="1:29" ht="12.75" customHeight="1" x14ac:dyDescent="0.2">
      <c r="A56" s="61"/>
      <c r="B56" s="11"/>
      <c r="C56" s="11"/>
      <c r="D56" s="11"/>
      <c r="E56" s="11"/>
      <c r="F56" s="11"/>
      <c r="G56" s="51"/>
      <c r="I56" s="63"/>
      <c r="J56" s="63"/>
      <c r="K56" s="64"/>
      <c r="L56" s="64"/>
      <c r="M56" s="64"/>
      <c r="N56" s="64"/>
      <c r="O56" s="64"/>
      <c r="P56" s="64"/>
      <c r="Q56" s="51"/>
      <c r="R56" s="86"/>
      <c r="S56" s="86"/>
      <c r="T56" s="65"/>
      <c r="AB56" s="66" t="s">
        <v>143</v>
      </c>
      <c r="AC56" s="66">
        <v>4642</v>
      </c>
    </row>
    <row r="57" spans="1:29" ht="12.75" customHeight="1" x14ac:dyDescent="0.2">
      <c r="A57" s="51"/>
      <c r="B57" s="11"/>
      <c r="C57" s="11"/>
      <c r="D57" s="11"/>
      <c r="E57" s="11"/>
      <c r="F57" s="11"/>
      <c r="G57" s="51"/>
      <c r="I57" s="63"/>
      <c r="J57" s="63"/>
      <c r="K57" s="67"/>
      <c r="L57" s="67"/>
      <c r="M57" s="67"/>
      <c r="N57" s="67"/>
      <c r="O57" s="67"/>
      <c r="P57" s="67"/>
      <c r="Q57" s="51"/>
      <c r="R57" s="86"/>
      <c r="S57" s="86"/>
      <c r="T57" s="65"/>
    </row>
    <row r="58" spans="1:29" ht="12.75" customHeight="1" x14ac:dyDescent="0.2">
      <c r="A58" s="89"/>
      <c r="B58" s="89"/>
      <c r="C58" s="68">
        <v>1</v>
      </c>
      <c r="D58" s="68">
        <v>2</v>
      </c>
      <c r="E58" s="68">
        <v>3</v>
      </c>
      <c r="F58" s="68">
        <v>4</v>
      </c>
      <c r="G58" s="68">
        <v>5</v>
      </c>
      <c r="H58" s="68">
        <v>6</v>
      </c>
      <c r="I58" s="69"/>
      <c r="J58" s="63"/>
      <c r="K58" s="64"/>
      <c r="L58" s="64"/>
      <c r="M58" s="64"/>
      <c r="N58" s="64"/>
      <c r="O58" s="64"/>
      <c r="P58" s="64"/>
      <c r="Q58" s="51"/>
      <c r="R58" s="86"/>
      <c r="S58" s="86"/>
      <c r="T58" s="65"/>
    </row>
    <row r="59" spans="1:29" ht="15.75" x14ac:dyDescent="0.2">
      <c r="A59" s="85" t="s">
        <v>144</v>
      </c>
      <c r="B59" s="85"/>
      <c r="C59" s="68"/>
      <c r="D59" s="68"/>
      <c r="E59" s="68"/>
      <c r="F59" s="68"/>
      <c r="G59" s="68"/>
      <c r="H59" s="68"/>
      <c r="I59" s="3"/>
      <c r="J59" s="69"/>
      <c r="K59" s="70"/>
      <c r="L59" s="71"/>
      <c r="M59" s="71"/>
      <c r="N59" s="71"/>
      <c r="O59" s="71"/>
      <c r="P59" s="71"/>
      <c r="Q59" s="51"/>
    </row>
    <row r="60" spans="1:29" x14ac:dyDescent="0.2">
      <c r="A60" s="85" t="s">
        <v>145</v>
      </c>
      <c r="B60" s="85"/>
      <c r="C60" s="68">
        <v>1</v>
      </c>
      <c r="D60" s="68">
        <v>1.1000000000000001</v>
      </c>
      <c r="E60" s="68">
        <v>1.22</v>
      </c>
      <c r="F60" s="68">
        <v>1.3580000000000001</v>
      </c>
      <c r="G60" s="68">
        <v>1.5569999999999999</v>
      </c>
      <c r="H60" s="68">
        <v>1.8180000000000001</v>
      </c>
    </row>
    <row r="61" spans="1:29" ht="12.75" customHeight="1" x14ac:dyDescent="0.2">
      <c r="A61" s="85" t="s">
        <v>146</v>
      </c>
      <c r="B61" s="85"/>
      <c r="C61" s="72">
        <f>C66*1.07/25.25</f>
        <v>514.02376237623764</v>
      </c>
      <c r="D61" s="72">
        <f>C61*D60</f>
        <v>565.42613861386144</v>
      </c>
      <c r="E61" s="72">
        <f>C61*E60</f>
        <v>627.10899009900993</v>
      </c>
      <c r="F61" s="72">
        <f>C61*F60</f>
        <v>698.0442693069308</v>
      </c>
      <c r="G61" s="72">
        <f>C61*G60</f>
        <v>800.33499801980201</v>
      </c>
      <c r="H61" s="72">
        <f>C61*H60</f>
        <v>934.49520000000007</v>
      </c>
      <c r="U61" s="73"/>
      <c r="V61" s="73"/>
      <c r="W61" s="86"/>
      <c r="X61" s="86"/>
      <c r="Y61" s="86"/>
      <c r="Z61" s="74"/>
      <c r="AA61" s="75"/>
      <c r="AB61" s="75"/>
      <c r="AC61" s="75"/>
    </row>
    <row r="62" spans="1:29" ht="12.75" customHeight="1" x14ac:dyDescent="0.2">
      <c r="A62" s="85" t="s">
        <v>147</v>
      </c>
      <c r="B62" s="85"/>
      <c r="C62" s="68"/>
      <c r="D62" s="68"/>
      <c r="E62" s="68"/>
      <c r="F62" s="68"/>
      <c r="G62" s="68"/>
      <c r="H62" s="68"/>
      <c r="U62" s="73"/>
      <c r="V62" s="73"/>
      <c r="W62" s="86"/>
      <c r="X62" s="86"/>
      <c r="Y62" s="86"/>
      <c r="Z62" s="74"/>
      <c r="AA62" s="75"/>
      <c r="AB62" s="75"/>
      <c r="AC62" s="75"/>
    </row>
    <row r="63" spans="1:29" ht="12.75" customHeight="1" x14ac:dyDescent="0.2">
      <c r="A63" s="85" t="s">
        <v>145</v>
      </c>
      <c r="B63" s="85"/>
      <c r="C63" s="68">
        <v>1</v>
      </c>
      <c r="D63" s="68">
        <v>1.0840000000000001</v>
      </c>
      <c r="E63" s="68">
        <v>1.196</v>
      </c>
      <c r="F63" s="68">
        <v>1.349</v>
      </c>
      <c r="G63" s="68">
        <v>1.5429999999999999</v>
      </c>
      <c r="H63" s="68">
        <v>1.794</v>
      </c>
      <c r="U63" s="73"/>
      <c r="V63" s="73"/>
      <c r="W63" s="86"/>
      <c r="X63" s="86"/>
      <c r="Y63" s="86"/>
      <c r="Z63" s="76"/>
      <c r="AA63" s="75"/>
      <c r="AB63" s="75"/>
      <c r="AC63" s="75"/>
    </row>
    <row r="64" spans="1:29" x14ac:dyDescent="0.2">
      <c r="A64" s="85" t="s">
        <v>146</v>
      </c>
      <c r="B64" s="85"/>
      <c r="C64" s="72">
        <v>684.85</v>
      </c>
      <c r="D64" s="72">
        <v>724.38</v>
      </c>
      <c r="E64" s="72">
        <v>819.08</v>
      </c>
      <c r="F64" s="72">
        <v>923.87</v>
      </c>
      <c r="G64" s="72">
        <v>1056.73</v>
      </c>
      <c r="H64" s="77">
        <v>1228.6300000000001</v>
      </c>
      <c r="U64" s="73"/>
      <c r="V64" s="73"/>
      <c r="W64" s="75"/>
      <c r="X64" s="75"/>
      <c r="Y64" s="75"/>
      <c r="Z64" s="75"/>
      <c r="AA64" s="75"/>
      <c r="AB64" s="75"/>
      <c r="AC64" s="75"/>
    </row>
    <row r="65" spans="1:29" x14ac:dyDescent="0.2">
      <c r="A65" s="78"/>
      <c r="B65" s="78"/>
      <c r="C65" s="78"/>
      <c r="D65" s="78"/>
      <c r="E65" s="78"/>
      <c r="F65" s="78"/>
      <c r="G65" s="78"/>
      <c r="H65" s="78"/>
      <c r="U65" s="73"/>
      <c r="V65" s="73"/>
      <c r="W65" s="75"/>
      <c r="X65" s="75"/>
      <c r="Y65" s="75"/>
      <c r="Z65" s="75"/>
      <c r="AA65" s="75"/>
      <c r="AB65" s="75"/>
      <c r="AC65" s="75"/>
    </row>
    <row r="66" spans="1:29" x14ac:dyDescent="0.2">
      <c r="A66" s="79" t="s">
        <v>148</v>
      </c>
      <c r="B66" s="79"/>
      <c r="C66" s="79">
        <v>12130</v>
      </c>
      <c r="D66"/>
      <c r="E66"/>
      <c r="F66"/>
      <c r="G66"/>
      <c r="H66"/>
      <c r="U66" s="73"/>
      <c r="V66" s="73"/>
      <c r="W66" s="75"/>
      <c r="X66" s="75"/>
      <c r="Y66" s="75"/>
      <c r="Z66" s="75"/>
      <c r="AA66" s="75"/>
      <c r="AB66" s="75"/>
      <c r="AC66" s="75"/>
    </row>
    <row r="67" spans="1:29" x14ac:dyDescent="0.2">
      <c r="U67" s="73"/>
      <c r="V67" s="73"/>
      <c r="W67" s="75"/>
      <c r="X67" s="75"/>
      <c r="Y67" s="75"/>
      <c r="Z67" s="75"/>
      <c r="AA67" s="75"/>
      <c r="AB67" s="75"/>
      <c r="AC67" s="75"/>
    </row>
    <row r="68" spans="1:29" x14ac:dyDescent="0.2">
      <c r="U68" s="73"/>
      <c r="V68" s="73"/>
      <c r="W68" s="75"/>
      <c r="X68" s="75"/>
      <c r="Y68" s="75"/>
      <c r="Z68" s="75"/>
      <c r="AA68" s="75"/>
      <c r="AB68" s="75"/>
      <c r="AC68" s="75"/>
    </row>
    <row r="69" spans="1:29" x14ac:dyDescent="0.2">
      <c r="U69" s="73"/>
      <c r="V69" s="73"/>
      <c r="W69" s="75"/>
      <c r="X69" s="75"/>
      <c r="Y69" s="75"/>
      <c r="Z69" s="75"/>
      <c r="AA69" s="75"/>
      <c r="AB69" s="75"/>
      <c r="AC69" s="75"/>
    </row>
    <row r="70" spans="1:29" ht="12.75" customHeight="1" x14ac:dyDescent="0.2">
      <c r="I70" s="63"/>
      <c r="R70" s="86"/>
      <c r="S70" s="86"/>
      <c r="T70" s="65"/>
      <c r="U70" s="73"/>
      <c r="V70" s="73"/>
      <c r="W70" s="75"/>
      <c r="X70" s="75"/>
      <c r="Y70" s="75"/>
      <c r="Z70" s="75"/>
      <c r="AA70" s="75"/>
      <c r="AB70" s="75"/>
      <c r="AC70" s="75"/>
    </row>
    <row r="71" spans="1:29" x14ac:dyDescent="0.2">
      <c r="I71" s="63"/>
      <c r="J71" s="63"/>
      <c r="K71" s="67"/>
      <c r="L71" s="67"/>
      <c r="M71" s="67"/>
      <c r="N71" s="67"/>
      <c r="O71" s="67"/>
      <c r="P71" s="67"/>
    </row>
    <row r="72" spans="1:29" x14ac:dyDescent="0.2">
      <c r="I72" s="63"/>
      <c r="J72" s="63"/>
      <c r="K72" s="67"/>
      <c r="L72" s="67"/>
      <c r="M72" s="67"/>
      <c r="N72" s="67"/>
      <c r="O72" s="67"/>
      <c r="P72" s="67"/>
    </row>
    <row r="73" spans="1:29" x14ac:dyDescent="0.2">
      <c r="I73" s="76"/>
      <c r="J73" s="63"/>
      <c r="K73" s="67"/>
      <c r="L73" s="67"/>
      <c r="M73" s="67"/>
      <c r="N73" s="67"/>
      <c r="O73" s="67"/>
      <c r="P73" s="67"/>
    </row>
    <row r="74" spans="1:29" x14ac:dyDescent="0.2">
      <c r="J74" s="76"/>
      <c r="K74" s="65"/>
      <c r="L74" s="65"/>
      <c r="M74" s="65"/>
      <c r="N74" s="65"/>
      <c r="O74" s="65"/>
      <c r="P74" s="65"/>
    </row>
    <row r="75" spans="1:29" ht="12.75" customHeight="1" x14ac:dyDescent="0.2">
      <c r="K75" s="51"/>
      <c r="L75" s="51"/>
      <c r="M75" s="87"/>
      <c r="N75" s="87"/>
      <c r="O75" s="87"/>
      <c r="P75" s="87"/>
    </row>
    <row r="76" spans="1:29" ht="12.75" customHeight="1" x14ac:dyDescent="0.2">
      <c r="K76" s="51"/>
      <c r="L76" s="65"/>
      <c r="M76" s="88"/>
      <c r="N76" s="88"/>
      <c r="O76" s="88"/>
      <c r="P76" s="88"/>
    </row>
  </sheetData>
  <mergeCells count="151">
    <mergeCell ref="AA1:AC1"/>
    <mergeCell ref="R2:T2"/>
    <mergeCell ref="U2:W2"/>
    <mergeCell ref="X2:Y3"/>
    <mergeCell ref="Z2:AA3"/>
    <mergeCell ref="AB2:AC3"/>
    <mergeCell ref="B3:B4"/>
    <mergeCell ref="G3:P4"/>
    <mergeCell ref="R3:T3"/>
    <mergeCell ref="U3:W3"/>
    <mergeCell ref="A4:A5"/>
    <mergeCell ref="R4:T4"/>
    <mergeCell ref="U4:V4"/>
    <mergeCell ref="X4:Y4"/>
    <mergeCell ref="Z4:AA4"/>
    <mergeCell ref="AB4:AC4"/>
    <mergeCell ref="J5:N5"/>
    <mergeCell ref="R5:T5"/>
    <mergeCell ref="U5:W5"/>
    <mergeCell ref="X5:Y5"/>
    <mergeCell ref="Z5:AA5"/>
    <mergeCell ref="AB5:AC5"/>
    <mergeCell ref="R6:S6"/>
    <mergeCell ref="U6:V6"/>
    <mergeCell ref="A8:A14"/>
    <mergeCell ref="B8:E10"/>
    <mergeCell ref="F8:G10"/>
    <mergeCell ref="H8:J10"/>
    <mergeCell ref="K8:L10"/>
    <mergeCell ref="M8:M14"/>
    <mergeCell ref="N8:N14"/>
    <mergeCell ref="O8:P10"/>
    <mergeCell ref="Q8:R10"/>
    <mergeCell ref="S8:T10"/>
    <mergeCell ref="U8:U14"/>
    <mergeCell ref="V8:V14"/>
    <mergeCell ref="W8:Y10"/>
    <mergeCell ref="Z8:AA10"/>
    <mergeCell ref="AB8:AC10"/>
    <mergeCell ref="B11:B14"/>
    <mergeCell ref="C11:C14"/>
    <mergeCell ref="D11:D14"/>
    <mergeCell ref="E11:E14"/>
    <mergeCell ref="F11:F14"/>
    <mergeCell ref="G11:G14"/>
    <mergeCell ref="H11:H14"/>
    <mergeCell ref="I11:J11"/>
    <mergeCell ref="K11:K14"/>
    <mergeCell ref="L11:L14"/>
    <mergeCell ref="O11:O14"/>
    <mergeCell ref="P11:P14"/>
    <mergeCell ref="Q11:Q14"/>
    <mergeCell ref="R11:R14"/>
    <mergeCell ref="S11:S14"/>
    <mergeCell ref="T11:T14"/>
    <mergeCell ref="W11:X11"/>
    <mergeCell ref="Y11:Y14"/>
    <mergeCell ref="Z11:Z14"/>
    <mergeCell ref="AA11:AA14"/>
    <mergeCell ref="AB11:AB14"/>
    <mergeCell ref="AC11:AC14"/>
    <mergeCell ref="I12:I14"/>
    <mergeCell ref="J12:J14"/>
    <mergeCell ref="W12:W14"/>
    <mergeCell ref="X12:X14"/>
    <mergeCell ref="D45:F45"/>
    <mergeCell ref="G45:H45"/>
    <mergeCell ref="J45:M45"/>
    <mergeCell ref="N45:O45"/>
    <mergeCell ref="P45:Q45"/>
    <mergeCell ref="R45:U45"/>
    <mergeCell ref="V45:W45"/>
    <mergeCell ref="X45:Y45"/>
    <mergeCell ref="Z45:AA46"/>
    <mergeCell ref="AB45:AC46"/>
    <mergeCell ref="D46:F46"/>
    <mergeCell ref="J46:M46"/>
    <mergeCell ref="N46:O46"/>
    <mergeCell ref="P46:Q46"/>
    <mergeCell ref="R46:U46"/>
    <mergeCell ref="V46:W46"/>
    <mergeCell ref="X46:Y46"/>
    <mergeCell ref="D47:F47"/>
    <mergeCell ref="J47:M47"/>
    <mergeCell ref="N47:O47"/>
    <mergeCell ref="P47:Q47"/>
    <mergeCell ref="R47:U47"/>
    <mergeCell ref="V47:W47"/>
    <mergeCell ref="X47:Y47"/>
    <mergeCell ref="Z47:AA48"/>
    <mergeCell ref="AB47:AC48"/>
    <mergeCell ref="D48:F48"/>
    <mergeCell ref="J48:M48"/>
    <mergeCell ref="N48:O48"/>
    <mergeCell ref="P48:Q48"/>
    <mergeCell ref="R48:U48"/>
    <mergeCell ref="V48:W48"/>
    <mergeCell ref="X48:Y48"/>
    <mergeCell ref="D49:F49"/>
    <mergeCell ref="J49:M49"/>
    <mergeCell ref="N49:O49"/>
    <mergeCell ref="P49:Q49"/>
    <mergeCell ref="R49:U49"/>
    <mergeCell ref="V49:W49"/>
    <mergeCell ref="X49:Y49"/>
    <mergeCell ref="D50:F50"/>
    <mergeCell ref="J50:M50"/>
    <mergeCell ref="N50:O50"/>
    <mergeCell ref="P50:Q50"/>
    <mergeCell ref="R50:U50"/>
    <mergeCell ref="V50:W50"/>
    <mergeCell ref="X50:Y50"/>
    <mergeCell ref="D51:F51"/>
    <mergeCell ref="J51:M51"/>
    <mergeCell ref="N51:O51"/>
    <mergeCell ref="P51:Q51"/>
    <mergeCell ref="R51:U51"/>
    <mergeCell ref="V51:W51"/>
    <mergeCell ref="X51:Y51"/>
    <mergeCell ref="D52:F52"/>
    <mergeCell ref="J52:M52"/>
    <mergeCell ref="N52:O52"/>
    <mergeCell ref="P52:Q52"/>
    <mergeCell ref="R52:U52"/>
    <mergeCell ref="X52:Y52"/>
    <mergeCell ref="J53:M53"/>
    <mergeCell ref="N53:O53"/>
    <mergeCell ref="P53:Q53"/>
    <mergeCell ref="R53:U53"/>
    <mergeCell ref="X53:Y53"/>
    <mergeCell ref="J54:M54"/>
    <mergeCell ref="N54:O54"/>
    <mergeCell ref="P54:Q54"/>
    <mergeCell ref="R56:S56"/>
    <mergeCell ref="A63:B63"/>
    <mergeCell ref="W63:Y63"/>
    <mergeCell ref="A64:B64"/>
    <mergeCell ref="R70:S70"/>
    <mergeCell ref="M75:N75"/>
    <mergeCell ref="O75:P75"/>
    <mergeCell ref="M76:N76"/>
    <mergeCell ref="O76:P76"/>
    <mergeCell ref="R57:S57"/>
    <mergeCell ref="A58:B58"/>
    <mergeCell ref="R58:S58"/>
    <mergeCell ref="A59:B59"/>
    <mergeCell ref="A60:B60"/>
    <mergeCell ref="A61:B61"/>
    <mergeCell ref="W61:Y61"/>
    <mergeCell ref="A62:B62"/>
    <mergeCell ref="W62:Y62"/>
  </mergeCells>
  <printOptions gridLines="1"/>
  <pageMargins left="0.25" right="0.25" top="0.75" bottom="0.75" header="0.51180555555555496" footer="0.51180555555555496"/>
  <pageSetup paperSize="9" firstPageNumber="0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5"/>
  <sheetViews>
    <sheetView topLeftCell="A35" zoomScale="90" zoomScaleNormal="90" workbookViewId="0">
      <selection activeCell="U2" sqref="U2:W2"/>
    </sheetView>
  </sheetViews>
  <sheetFormatPr defaultRowHeight="12.75" x14ac:dyDescent="0.2"/>
  <cols>
    <col min="1" max="1" width="30.140625" customWidth="1"/>
    <col min="2" max="15" width="9" customWidth="1"/>
    <col min="16" max="16" width="10.42578125" customWidth="1"/>
    <col min="17" max="17" width="9.5703125" customWidth="1"/>
    <col min="18" max="18" width="9" customWidth="1"/>
    <col min="19" max="19" width="10.42578125" customWidth="1"/>
    <col min="20" max="20" width="11.5703125"/>
    <col min="21" max="21" width="10.42578125" customWidth="1"/>
    <col min="22" max="22" width="10.140625" customWidth="1"/>
    <col min="23" max="23" width="9" customWidth="1"/>
    <col min="24" max="24" width="11.42578125" customWidth="1"/>
    <col min="25" max="25" width="10.42578125" customWidth="1"/>
    <col min="26" max="1025" width="9" customWidth="1"/>
  </cols>
  <sheetData>
    <row r="1" spans="1:29" ht="12.75" customHeight="1" x14ac:dyDescent="0.2">
      <c r="A1" s="2" t="s">
        <v>1</v>
      </c>
      <c r="B1" s="3"/>
      <c r="C1" s="3"/>
      <c r="D1" s="3"/>
      <c r="E1" s="3"/>
      <c r="F1" s="3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93" t="s">
        <v>2</v>
      </c>
      <c r="S1" s="93"/>
      <c r="T1" s="93"/>
      <c r="U1" s="87" t="s">
        <v>179</v>
      </c>
      <c r="V1" s="87"/>
      <c r="W1" s="87"/>
      <c r="X1" s="101" t="s">
        <v>3</v>
      </c>
      <c r="Y1" s="101"/>
      <c r="Z1" s="102" t="s">
        <v>4</v>
      </c>
      <c r="AA1" s="102"/>
      <c r="AB1" s="97" t="s">
        <v>5</v>
      </c>
      <c r="AC1" s="97"/>
    </row>
    <row r="2" spans="1:29" ht="12.75" customHeight="1" x14ac:dyDescent="0.2">
      <c r="A2" s="1"/>
      <c r="B2" s="100"/>
      <c r="C2" s="3"/>
      <c r="D2" s="3"/>
      <c r="E2" s="3"/>
      <c r="F2" s="3"/>
      <c r="G2" s="105" t="s">
        <v>6</v>
      </c>
      <c r="H2" s="105"/>
      <c r="I2" s="105"/>
      <c r="J2" s="105"/>
      <c r="K2" s="105"/>
      <c r="L2" s="105"/>
      <c r="M2" s="105"/>
      <c r="N2" s="105"/>
      <c r="O2" s="105"/>
      <c r="P2" s="105"/>
      <c r="Q2" s="1"/>
      <c r="R2" s="93" t="s">
        <v>7</v>
      </c>
      <c r="S2" s="93"/>
      <c r="T2" s="93"/>
      <c r="U2" s="87" t="s">
        <v>181</v>
      </c>
      <c r="V2" s="87"/>
      <c r="W2" s="87"/>
      <c r="X2" s="101"/>
      <c r="Y2" s="101"/>
      <c r="Z2" s="102"/>
      <c r="AA2" s="102"/>
      <c r="AB2" s="97"/>
      <c r="AC2" s="97"/>
    </row>
    <row r="3" spans="1:29" ht="12.75" customHeight="1" x14ac:dyDescent="0.2">
      <c r="A3" s="100"/>
      <c r="B3" s="100"/>
      <c r="C3" s="3"/>
      <c r="D3" s="3"/>
      <c r="E3" s="3"/>
      <c r="F3" s="3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"/>
      <c r="R3" s="93" t="s">
        <v>8</v>
      </c>
      <c r="S3" s="93"/>
      <c r="T3" s="93"/>
      <c r="U3" s="87">
        <v>1</v>
      </c>
      <c r="V3" s="87"/>
      <c r="W3" s="5" t="s">
        <v>9</v>
      </c>
      <c r="X3" s="101" t="s">
        <v>10</v>
      </c>
      <c r="Y3" s="101"/>
      <c r="Z3" s="102"/>
      <c r="AA3" s="102"/>
      <c r="AB3" s="101">
        <v>36630</v>
      </c>
      <c r="AC3" s="101"/>
    </row>
    <row r="4" spans="1:29" ht="12.75" customHeight="1" x14ac:dyDescent="0.2">
      <c r="A4" s="100"/>
      <c r="B4" s="3"/>
      <c r="C4" s="3"/>
      <c r="D4" s="3"/>
      <c r="E4" s="3"/>
      <c r="F4" s="3"/>
      <c r="G4" s="1"/>
      <c r="H4" s="1"/>
      <c r="I4" s="1"/>
      <c r="J4" s="103"/>
      <c r="K4" s="103"/>
      <c r="L4" s="103"/>
      <c r="M4" s="103"/>
      <c r="N4" s="103"/>
      <c r="O4" s="1"/>
      <c r="P4" s="1"/>
      <c r="Q4" s="1"/>
      <c r="R4" s="93" t="s">
        <v>11</v>
      </c>
      <c r="S4" s="93"/>
      <c r="T4" s="93"/>
      <c r="U4" s="87" t="s">
        <v>12</v>
      </c>
      <c r="V4" s="87"/>
      <c r="W4" s="87"/>
      <c r="X4" s="101" t="s">
        <v>13</v>
      </c>
      <c r="Y4" s="101"/>
      <c r="Z4" s="102"/>
      <c r="AA4" s="102"/>
      <c r="AB4" s="102"/>
      <c r="AC4" s="102"/>
    </row>
    <row r="5" spans="1:29" ht="12.75" customHeight="1" x14ac:dyDescent="0.2">
      <c r="A5" s="7"/>
      <c r="B5" s="3"/>
      <c r="C5" s="3"/>
      <c r="D5" s="3"/>
      <c r="E5" s="3"/>
      <c r="F5" s="3"/>
      <c r="G5" s="1"/>
      <c r="H5" s="1"/>
      <c r="I5" s="1"/>
      <c r="J5" s="8"/>
      <c r="K5" s="8"/>
      <c r="L5" s="8"/>
      <c r="M5" s="8"/>
      <c r="N5" s="8"/>
      <c r="O5" s="1"/>
      <c r="P5" s="1"/>
      <c r="Q5" s="1"/>
      <c r="R5" s="93" t="s">
        <v>14</v>
      </c>
      <c r="S5" s="93"/>
      <c r="T5" s="9"/>
      <c r="U5" s="87">
        <v>40000</v>
      </c>
      <c r="V5" s="87"/>
      <c r="W5" s="10" t="s">
        <v>15</v>
      </c>
      <c r="X5" s="11"/>
      <c r="Y5" s="11"/>
      <c r="Z5" s="11"/>
      <c r="AA5" s="11"/>
      <c r="AB5" s="11"/>
      <c r="AC5" s="11"/>
    </row>
    <row r="6" spans="1:29" ht="15.75" x14ac:dyDescent="0.2">
      <c r="A6" s="1"/>
      <c r="B6" s="12"/>
      <c r="C6" s="12"/>
      <c r="D6" s="12"/>
      <c r="E6" s="12"/>
      <c r="F6" s="1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2.75" customHeight="1" x14ac:dyDescent="0.2">
      <c r="A7" s="99" t="s">
        <v>16</v>
      </c>
      <c r="B7" s="97" t="s">
        <v>17</v>
      </c>
      <c r="C7" s="97"/>
      <c r="D7" s="97"/>
      <c r="E7" s="97"/>
      <c r="F7" s="97" t="s">
        <v>18</v>
      </c>
      <c r="G7" s="97"/>
      <c r="H7" s="97" t="s">
        <v>19</v>
      </c>
      <c r="I7" s="97"/>
      <c r="J7" s="97"/>
      <c r="K7" s="97" t="s">
        <v>20</v>
      </c>
      <c r="L7" s="97"/>
      <c r="M7" s="96" t="s">
        <v>21</v>
      </c>
      <c r="N7" s="96" t="s">
        <v>22</v>
      </c>
      <c r="O7" s="97" t="s">
        <v>23</v>
      </c>
      <c r="P7" s="97"/>
      <c r="Q7" s="97" t="s">
        <v>24</v>
      </c>
      <c r="R7" s="97"/>
      <c r="S7" s="97" t="s">
        <v>25</v>
      </c>
      <c r="T7" s="97"/>
      <c r="U7" s="96" t="s">
        <v>26</v>
      </c>
      <c r="V7" s="96" t="s">
        <v>27</v>
      </c>
      <c r="W7" s="97" t="s">
        <v>28</v>
      </c>
      <c r="X7" s="97"/>
      <c r="Y7" s="97"/>
      <c r="Z7" s="97" t="s">
        <v>29</v>
      </c>
      <c r="AA7" s="97"/>
      <c r="AB7" s="97" t="s">
        <v>30</v>
      </c>
      <c r="AC7" s="97"/>
    </row>
    <row r="8" spans="1:29" x14ac:dyDescent="0.2">
      <c r="A8" s="99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6"/>
      <c r="N8" s="96"/>
      <c r="O8" s="97"/>
      <c r="P8" s="97"/>
      <c r="Q8" s="97"/>
      <c r="R8" s="97"/>
      <c r="S8" s="97"/>
      <c r="T8" s="97"/>
      <c r="U8" s="96"/>
      <c r="V8" s="96"/>
      <c r="W8" s="97"/>
      <c r="X8" s="97"/>
      <c r="Y8" s="97"/>
      <c r="Z8" s="97"/>
      <c r="AA8" s="97"/>
      <c r="AB8" s="97"/>
      <c r="AC8" s="97"/>
    </row>
    <row r="9" spans="1:29" x14ac:dyDescent="0.2">
      <c r="A9" s="99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6"/>
      <c r="N9" s="96"/>
      <c r="O9" s="97"/>
      <c r="P9" s="97"/>
      <c r="Q9" s="97"/>
      <c r="R9" s="97"/>
      <c r="S9" s="97"/>
      <c r="T9" s="97"/>
      <c r="U9" s="96"/>
      <c r="V9" s="96"/>
      <c r="W9" s="97"/>
      <c r="X9" s="97"/>
      <c r="Y9" s="97"/>
      <c r="Z9" s="97"/>
      <c r="AA9" s="97"/>
      <c r="AB9" s="97"/>
      <c r="AC9" s="97"/>
    </row>
    <row r="10" spans="1:29" ht="12.75" customHeight="1" x14ac:dyDescent="0.2">
      <c r="A10" s="99"/>
      <c r="B10" s="96" t="s">
        <v>31</v>
      </c>
      <c r="C10" s="96" t="s">
        <v>32</v>
      </c>
      <c r="D10" s="96" t="s">
        <v>33</v>
      </c>
      <c r="E10" s="96" t="s">
        <v>34</v>
      </c>
      <c r="F10" s="96" t="s">
        <v>35</v>
      </c>
      <c r="G10" s="96" t="s">
        <v>36</v>
      </c>
      <c r="H10" s="96" t="s">
        <v>37</v>
      </c>
      <c r="I10" s="97" t="s">
        <v>38</v>
      </c>
      <c r="J10" s="97"/>
      <c r="K10" s="96" t="s">
        <v>39</v>
      </c>
      <c r="L10" s="96" t="s">
        <v>40</v>
      </c>
      <c r="M10" s="96"/>
      <c r="N10" s="96"/>
      <c r="O10" s="96" t="s">
        <v>39</v>
      </c>
      <c r="P10" s="96" t="s">
        <v>40</v>
      </c>
      <c r="Q10" s="96" t="s">
        <v>39</v>
      </c>
      <c r="R10" s="96" t="s">
        <v>40</v>
      </c>
      <c r="S10" s="96" t="s">
        <v>39</v>
      </c>
      <c r="T10" s="96" t="s">
        <v>40</v>
      </c>
      <c r="U10" s="96"/>
      <c r="V10" s="96"/>
      <c r="W10" s="97" t="s">
        <v>41</v>
      </c>
      <c r="X10" s="97"/>
      <c r="Y10" s="96" t="s">
        <v>42</v>
      </c>
      <c r="Z10" s="96" t="s">
        <v>43</v>
      </c>
      <c r="AA10" s="96" t="s">
        <v>42</v>
      </c>
      <c r="AB10" s="96" t="s">
        <v>44</v>
      </c>
      <c r="AC10" s="96" t="s">
        <v>42</v>
      </c>
    </row>
    <row r="11" spans="1:29" ht="12.75" customHeight="1" x14ac:dyDescent="0.2">
      <c r="A11" s="99"/>
      <c r="B11" s="96"/>
      <c r="C11" s="96"/>
      <c r="D11" s="96"/>
      <c r="E11" s="96"/>
      <c r="F11" s="96"/>
      <c r="G11" s="96"/>
      <c r="H11" s="96"/>
      <c r="I11" s="97" t="s">
        <v>45</v>
      </c>
      <c r="J11" s="96" t="s">
        <v>46</v>
      </c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 t="s">
        <v>47</v>
      </c>
      <c r="X11" s="96" t="s">
        <v>48</v>
      </c>
      <c r="Y11" s="96"/>
      <c r="Z11" s="96"/>
      <c r="AA11" s="96"/>
      <c r="AB11" s="96"/>
      <c r="AC11" s="96"/>
    </row>
    <row r="12" spans="1:29" x14ac:dyDescent="0.2">
      <c r="A12" s="99"/>
      <c r="B12" s="96"/>
      <c r="C12" s="96"/>
      <c r="D12" s="96"/>
      <c r="E12" s="96"/>
      <c r="F12" s="96"/>
      <c r="G12" s="96"/>
      <c r="H12" s="96"/>
      <c r="I12" s="97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</row>
    <row r="13" spans="1:29" x14ac:dyDescent="0.2">
      <c r="A13" s="99"/>
      <c r="B13" s="96"/>
      <c r="C13" s="96"/>
      <c r="D13" s="96"/>
      <c r="E13" s="96"/>
      <c r="F13" s="96"/>
      <c r="G13" s="96"/>
      <c r="H13" s="96"/>
      <c r="I13" s="97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</row>
    <row r="14" spans="1:29" x14ac:dyDescent="0.2">
      <c r="A14" s="13" t="s">
        <v>49</v>
      </c>
      <c r="B14" s="14" t="s">
        <v>50</v>
      </c>
      <c r="C14" s="14">
        <v>1</v>
      </c>
      <c r="D14" s="14">
        <v>2</v>
      </c>
      <c r="E14" s="14">
        <v>3</v>
      </c>
      <c r="F14" s="14">
        <v>4</v>
      </c>
      <c r="G14" s="14">
        <v>5</v>
      </c>
      <c r="H14" s="14">
        <v>6</v>
      </c>
      <c r="I14" s="14">
        <v>7</v>
      </c>
      <c r="J14" s="14">
        <v>8</v>
      </c>
      <c r="K14" s="14">
        <v>9</v>
      </c>
      <c r="L14" s="14">
        <v>10</v>
      </c>
      <c r="M14" s="14">
        <v>11</v>
      </c>
      <c r="N14" s="14">
        <v>12</v>
      </c>
      <c r="O14" s="14">
        <v>13</v>
      </c>
      <c r="P14" s="14">
        <v>14</v>
      </c>
      <c r="Q14" s="14">
        <v>15</v>
      </c>
      <c r="R14" s="14">
        <v>16</v>
      </c>
      <c r="S14" s="14">
        <v>17</v>
      </c>
      <c r="T14" s="14">
        <v>18</v>
      </c>
      <c r="U14" s="14">
        <v>19</v>
      </c>
      <c r="V14" s="14">
        <v>20</v>
      </c>
      <c r="W14" s="14">
        <v>21</v>
      </c>
      <c r="X14" s="14">
        <v>22</v>
      </c>
      <c r="Y14" s="14">
        <v>23</v>
      </c>
      <c r="Z14" s="14">
        <v>24</v>
      </c>
      <c r="AA14" s="14">
        <v>25</v>
      </c>
      <c r="AB14" s="14">
        <v>26</v>
      </c>
      <c r="AC14" s="14">
        <v>27</v>
      </c>
    </row>
    <row r="15" spans="1:29" ht="14.25" customHeight="1" x14ac:dyDescent="0.2">
      <c r="A15" s="13" t="s">
        <v>51</v>
      </c>
      <c r="B15" s="14" t="s">
        <v>15</v>
      </c>
      <c r="C15" s="14">
        <v>625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</row>
    <row r="16" spans="1:29" ht="15" customHeight="1" x14ac:dyDescent="0.2">
      <c r="A16" s="15" t="s">
        <v>52</v>
      </c>
      <c r="B16" s="14" t="s">
        <v>53</v>
      </c>
      <c r="C16" s="14">
        <v>1.2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</row>
    <row r="17" spans="1:29" ht="18.75" customHeight="1" x14ac:dyDescent="0.25">
      <c r="A17" s="16" t="s">
        <v>54</v>
      </c>
      <c r="B17" s="17" t="s">
        <v>9</v>
      </c>
      <c r="C17" s="18">
        <v>1</v>
      </c>
      <c r="D17" s="19">
        <v>7.7</v>
      </c>
      <c r="E17" s="19">
        <v>0.4</v>
      </c>
      <c r="F17" s="20"/>
      <c r="G17" s="17">
        <v>1</v>
      </c>
      <c r="H17" s="17" t="s">
        <v>55</v>
      </c>
      <c r="I17" s="17" t="s">
        <v>56</v>
      </c>
      <c r="J17" s="17">
        <v>1</v>
      </c>
      <c r="K17" s="17">
        <v>1</v>
      </c>
      <c r="L17" s="17" t="s">
        <v>57</v>
      </c>
      <c r="M17" s="19">
        <v>55.1</v>
      </c>
      <c r="N17" s="21">
        <f>C17:C40/M17:M40</f>
        <v>1.8148820326678767E-2</v>
      </c>
      <c r="O17" s="21">
        <f>N17*K17*7</f>
        <v>0.12704174228675136</v>
      </c>
      <c r="P17" s="17" t="s">
        <v>57</v>
      </c>
      <c r="Q17" s="19">
        <f>контроль!H64</f>
        <v>1228.6300000000001</v>
      </c>
      <c r="R17" s="17" t="s">
        <v>57</v>
      </c>
      <c r="S17" s="21"/>
      <c r="T17" s="21" t="s">
        <v>57</v>
      </c>
      <c r="U17" s="21">
        <v>10.75</v>
      </c>
      <c r="V17" s="17"/>
      <c r="W17" s="21">
        <v>10.4</v>
      </c>
      <c r="X17" s="22">
        <v>0.05</v>
      </c>
      <c r="Y17" s="21">
        <v>207.2</v>
      </c>
      <c r="Z17" s="22"/>
      <c r="AA17" s="22"/>
      <c r="AB17" s="21"/>
      <c r="AC17" s="23"/>
    </row>
    <row r="18" spans="1:29" ht="15.75" customHeight="1" x14ac:dyDescent="0.25">
      <c r="A18" s="16" t="s">
        <v>58</v>
      </c>
      <c r="B18" s="17" t="s">
        <v>9</v>
      </c>
      <c r="C18" s="18">
        <v>1</v>
      </c>
      <c r="D18" s="19">
        <v>4.9000000000000004</v>
      </c>
      <c r="E18" s="17">
        <v>0.3</v>
      </c>
      <c r="F18" s="20"/>
      <c r="G18" s="17">
        <v>1</v>
      </c>
      <c r="H18" s="17" t="s">
        <v>59</v>
      </c>
      <c r="I18" s="17" t="s">
        <v>60</v>
      </c>
      <c r="J18" s="17">
        <v>1</v>
      </c>
      <c r="K18" s="17">
        <v>1</v>
      </c>
      <c r="L18" s="17" t="s">
        <v>57</v>
      </c>
      <c r="M18" s="19">
        <v>70</v>
      </c>
      <c r="N18" s="21">
        <f t="shared" ref="N18:N28" si="0">C18/M18</f>
        <v>1.4285714285714285E-2</v>
      </c>
      <c r="O18" s="21">
        <f>N19*K19*7</f>
        <v>4</v>
      </c>
      <c r="P18" s="17" t="s">
        <v>57</v>
      </c>
      <c r="Q18" s="19">
        <f>контроль!H64</f>
        <v>1228.6300000000001</v>
      </c>
      <c r="R18" s="17" t="s">
        <v>57</v>
      </c>
      <c r="S18" s="21">
        <f>Q18*O18</f>
        <v>4914.5200000000004</v>
      </c>
      <c r="T18" s="21" t="s">
        <v>57</v>
      </c>
      <c r="U18" s="21">
        <v>434.7</v>
      </c>
      <c r="V18" s="17"/>
      <c r="W18" s="21">
        <v>8.5</v>
      </c>
      <c r="X18" s="21">
        <f>E18/W18</f>
        <v>3.5294117647058823E-2</v>
      </c>
      <c r="Y18" s="21">
        <f>AB55</f>
        <v>4642</v>
      </c>
      <c r="Z18" s="22"/>
      <c r="AA18" s="22"/>
      <c r="AB18" s="21"/>
      <c r="AC18" s="23"/>
    </row>
    <row r="19" spans="1:29" ht="13.5" customHeight="1" x14ac:dyDescent="0.25">
      <c r="A19" s="16" t="s">
        <v>149</v>
      </c>
      <c r="B19" s="17" t="s">
        <v>62</v>
      </c>
      <c r="C19" s="18">
        <v>60</v>
      </c>
      <c r="D19" s="19">
        <v>4.9000000000000004</v>
      </c>
      <c r="E19" s="17">
        <v>13.8</v>
      </c>
      <c r="F19" s="20"/>
      <c r="G19" s="17">
        <v>1</v>
      </c>
      <c r="H19" s="17" t="s">
        <v>59</v>
      </c>
      <c r="I19" s="17" t="s">
        <v>63</v>
      </c>
      <c r="J19" s="17">
        <v>1</v>
      </c>
      <c r="K19" s="17">
        <v>1</v>
      </c>
      <c r="L19" s="17" t="s">
        <v>57</v>
      </c>
      <c r="M19" s="19">
        <v>105</v>
      </c>
      <c r="N19" s="21">
        <f t="shared" si="0"/>
        <v>0.5714285714285714</v>
      </c>
      <c r="O19" s="21">
        <f>M20*K20</f>
        <v>26</v>
      </c>
      <c r="P19" s="17" t="s">
        <v>57</v>
      </c>
      <c r="Q19" s="19">
        <f>контроль!E64</f>
        <v>819.08</v>
      </c>
      <c r="R19" s="17" t="s">
        <v>57</v>
      </c>
      <c r="S19" s="21">
        <f>Q19*O19</f>
        <v>21296.080000000002</v>
      </c>
      <c r="T19" s="21" t="s">
        <v>57</v>
      </c>
      <c r="U19" s="21">
        <v>2402.4</v>
      </c>
      <c r="V19" s="17"/>
      <c r="W19" s="21">
        <v>8.5</v>
      </c>
      <c r="X19" s="21">
        <f>E19/W18</f>
        <v>1.6235294117647059</v>
      </c>
      <c r="Y19" s="21">
        <f>X19*AB55</f>
        <v>7536.4235294117643</v>
      </c>
      <c r="Z19" s="22"/>
      <c r="AA19" s="22"/>
      <c r="AB19" s="21"/>
      <c r="AC19" s="23"/>
    </row>
    <row r="20" spans="1:29" ht="17.25" customHeight="1" x14ac:dyDescent="0.25">
      <c r="A20" s="16" t="s">
        <v>64</v>
      </c>
      <c r="B20" s="17" t="s">
        <v>9</v>
      </c>
      <c r="C20" s="18">
        <v>1</v>
      </c>
      <c r="D20" s="19">
        <v>4.9000000000000004</v>
      </c>
      <c r="E20" s="19">
        <v>0.4</v>
      </c>
      <c r="F20" s="20"/>
      <c r="G20" s="17">
        <v>1</v>
      </c>
      <c r="H20" s="17" t="s">
        <v>59</v>
      </c>
      <c r="I20" s="17" t="s">
        <v>65</v>
      </c>
      <c r="J20" s="17">
        <v>1</v>
      </c>
      <c r="K20" s="17">
        <v>1</v>
      </c>
      <c r="L20" s="17" t="s">
        <v>57</v>
      </c>
      <c r="M20" s="19">
        <v>26</v>
      </c>
      <c r="N20" s="21">
        <f t="shared" si="0"/>
        <v>3.8461538461538464E-2</v>
      </c>
      <c r="O20" s="21">
        <f>N22*K22*7</f>
        <v>1.4285714285714284</v>
      </c>
      <c r="P20" s="17" t="s">
        <v>57</v>
      </c>
      <c r="Q20" s="19">
        <f>контроль!F64</f>
        <v>923.87</v>
      </c>
      <c r="R20" s="17" t="s">
        <v>57</v>
      </c>
      <c r="S20" s="21">
        <f>Q20*O20</f>
        <v>1319.8142857142855</v>
      </c>
      <c r="T20" s="21" t="s">
        <v>57</v>
      </c>
      <c r="U20" s="21">
        <v>39.25</v>
      </c>
      <c r="V20" s="17"/>
      <c r="W20" s="21">
        <v>8.5</v>
      </c>
      <c r="X20" s="21">
        <f>E20/W20</f>
        <v>4.7058823529411764E-2</v>
      </c>
      <c r="Y20" s="21">
        <f>X20*AB55</f>
        <v>218.4470588235294</v>
      </c>
      <c r="Z20" s="22"/>
      <c r="AA20" s="22"/>
      <c r="AB20" s="21"/>
      <c r="AC20" s="23"/>
    </row>
    <row r="21" spans="1:29" ht="30.75" customHeight="1" x14ac:dyDescent="0.25">
      <c r="A21" s="16" t="s">
        <v>66</v>
      </c>
      <c r="B21" s="17" t="s">
        <v>53</v>
      </c>
      <c r="C21" s="18">
        <v>1.2</v>
      </c>
      <c r="D21" s="19"/>
      <c r="E21" s="19"/>
      <c r="F21" s="20"/>
      <c r="G21" s="17">
        <v>1</v>
      </c>
      <c r="H21" s="17"/>
      <c r="I21" s="17" t="s">
        <v>67</v>
      </c>
      <c r="J21" s="17"/>
      <c r="K21" s="17"/>
      <c r="L21" s="17">
        <v>1</v>
      </c>
      <c r="M21" s="19">
        <v>1</v>
      </c>
      <c r="N21" s="21">
        <f t="shared" si="0"/>
        <v>1.2</v>
      </c>
      <c r="O21" s="21"/>
      <c r="P21" s="17">
        <f>L21*N21</f>
        <v>1.2</v>
      </c>
      <c r="Q21" s="19"/>
      <c r="R21" s="19">
        <f>контроль!E61</f>
        <v>627.10899009900993</v>
      </c>
      <c r="S21" s="21"/>
      <c r="T21" s="21">
        <f>R21*P21</f>
        <v>752.53078811881187</v>
      </c>
      <c r="U21" s="21"/>
      <c r="V21" s="17"/>
      <c r="W21" s="21"/>
      <c r="X21" s="22"/>
      <c r="Y21" s="21"/>
      <c r="Z21" s="22"/>
      <c r="AA21" s="22"/>
      <c r="AB21" s="21"/>
      <c r="AC21" s="23"/>
    </row>
    <row r="22" spans="1:29" ht="16.5" customHeight="1" x14ac:dyDescent="0.25">
      <c r="A22" s="16" t="s">
        <v>68</v>
      </c>
      <c r="B22" s="17" t="s">
        <v>9</v>
      </c>
      <c r="C22" s="18">
        <v>1</v>
      </c>
      <c r="D22" s="19">
        <v>7.7</v>
      </c>
      <c r="E22" s="19">
        <v>1.5</v>
      </c>
      <c r="F22" s="20"/>
      <c r="G22" s="17">
        <v>1</v>
      </c>
      <c r="H22" s="17" t="s">
        <v>55</v>
      </c>
      <c r="I22" s="17" t="s">
        <v>69</v>
      </c>
      <c r="J22" s="17">
        <v>1</v>
      </c>
      <c r="K22" s="17">
        <v>1</v>
      </c>
      <c r="L22" s="17" t="s">
        <v>57</v>
      </c>
      <c r="M22" s="19">
        <v>4.9000000000000004</v>
      </c>
      <c r="N22" s="21">
        <f t="shared" si="0"/>
        <v>0.2040816326530612</v>
      </c>
      <c r="O22" s="21">
        <v>1.4</v>
      </c>
      <c r="P22" s="17" t="s">
        <v>57</v>
      </c>
      <c r="Q22" s="19">
        <f>контроль!H64</f>
        <v>1228.6300000000001</v>
      </c>
      <c r="R22" s="17" t="s">
        <v>57</v>
      </c>
      <c r="S22" s="21">
        <f>Q22*O22</f>
        <v>1720.0820000000001</v>
      </c>
      <c r="T22" s="21" t="s">
        <v>57</v>
      </c>
      <c r="U22" s="21">
        <v>43.25</v>
      </c>
      <c r="V22" s="17"/>
      <c r="W22" s="21">
        <v>10.4</v>
      </c>
      <c r="X22" s="22">
        <v>0.2</v>
      </c>
      <c r="Y22" s="21">
        <v>777</v>
      </c>
      <c r="Z22" s="22"/>
      <c r="AA22" s="22"/>
      <c r="AB22" s="21"/>
      <c r="AC22" s="23"/>
    </row>
    <row r="23" spans="1:29" ht="14.25" customHeight="1" x14ac:dyDescent="0.25">
      <c r="A23" s="16" t="s">
        <v>70</v>
      </c>
      <c r="B23" s="17" t="s">
        <v>71</v>
      </c>
      <c r="C23" s="26">
        <v>0.4</v>
      </c>
      <c r="D23" s="19">
        <v>4.9000000000000004</v>
      </c>
      <c r="E23" s="19">
        <v>0.1</v>
      </c>
      <c r="F23" s="20"/>
      <c r="G23" s="17">
        <v>1</v>
      </c>
      <c r="H23" s="17" t="s">
        <v>72</v>
      </c>
      <c r="I23" s="17" t="s">
        <v>63</v>
      </c>
      <c r="J23" s="17">
        <v>1</v>
      </c>
      <c r="K23" s="17">
        <v>1</v>
      </c>
      <c r="L23" s="17" t="s">
        <v>57</v>
      </c>
      <c r="M23" s="19">
        <v>30</v>
      </c>
      <c r="N23" s="21">
        <f t="shared" si="0"/>
        <v>1.3333333333333334E-2</v>
      </c>
      <c r="O23" s="21">
        <v>7.0000000000000007E-2</v>
      </c>
      <c r="P23" s="17" t="s">
        <v>57</v>
      </c>
      <c r="Q23" s="19">
        <f>контроль!E64</f>
        <v>819.08</v>
      </c>
      <c r="R23" s="17" t="s">
        <v>57</v>
      </c>
      <c r="S23" s="21">
        <f>Q23*O23</f>
        <v>57.335600000000007</v>
      </c>
      <c r="T23" s="21" t="s">
        <v>57</v>
      </c>
      <c r="U23" s="21">
        <v>2.67</v>
      </c>
      <c r="V23" s="17"/>
      <c r="W23" s="21">
        <v>8.5</v>
      </c>
      <c r="X23" s="21">
        <f>E23/W23</f>
        <v>1.1764705882352941E-2</v>
      </c>
      <c r="Y23" s="21">
        <f>X23*AB55</f>
        <v>54.611764705882351</v>
      </c>
      <c r="Z23" s="22"/>
      <c r="AA23" s="22"/>
      <c r="AB23" s="21"/>
      <c r="AC23" s="23"/>
    </row>
    <row r="24" spans="1:29" ht="28.5" customHeight="1" x14ac:dyDescent="0.25">
      <c r="A24" s="16" t="s">
        <v>150</v>
      </c>
      <c r="B24" s="17" t="s">
        <v>9</v>
      </c>
      <c r="C24" s="18">
        <v>1</v>
      </c>
      <c r="D24" s="19">
        <v>4.9000000000000004</v>
      </c>
      <c r="E24" s="19">
        <v>0.1</v>
      </c>
      <c r="F24" s="20"/>
      <c r="G24" s="17">
        <v>1</v>
      </c>
      <c r="H24" s="17" t="s">
        <v>59</v>
      </c>
      <c r="I24" s="17" t="s">
        <v>74</v>
      </c>
      <c r="J24" s="17">
        <v>1</v>
      </c>
      <c r="K24" s="17">
        <v>1</v>
      </c>
      <c r="L24" s="17" t="s">
        <v>57</v>
      </c>
      <c r="M24" s="19">
        <v>26</v>
      </c>
      <c r="N24" s="21">
        <f t="shared" si="0"/>
        <v>3.8461538461538464E-2</v>
      </c>
      <c r="O24" s="21">
        <f>N24*K24*7</f>
        <v>0.26923076923076927</v>
      </c>
      <c r="P24" s="17" t="s">
        <v>57</v>
      </c>
      <c r="Q24" s="19">
        <f>контроль!F64</f>
        <v>923.87</v>
      </c>
      <c r="R24" s="17" t="s">
        <v>57</v>
      </c>
      <c r="S24" s="21">
        <f>Q24*O24</f>
        <v>248.73423076923081</v>
      </c>
      <c r="T24" s="21" t="s">
        <v>57</v>
      </c>
      <c r="U24" s="21">
        <v>3.33</v>
      </c>
      <c r="V24" s="17"/>
      <c r="W24" s="21">
        <v>8.5</v>
      </c>
      <c r="X24" s="21">
        <f>E24/W24</f>
        <v>1.1764705882352941E-2</v>
      </c>
      <c r="Y24" s="21">
        <f>X24*AB55</f>
        <v>54.611764705882351</v>
      </c>
      <c r="Z24" s="22"/>
      <c r="AA24" s="22"/>
      <c r="AB24" s="21"/>
      <c r="AC24" s="23"/>
    </row>
    <row r="25" spans="1:29" ht="20.25" customHeight="1" x14ac:dyDescent="0.25">
      <c r="A25" s="16" t="s">
        <v>75</v>
      </c>
      <c r="B25" s="17" t="s">
        <v>15</v>
      </c>
      <c r="C25" s="18">
        <v>625</v>
      </c>
      <c r="D25" s="19"/>
      <c r="E25" s="19"/>
      <c r="F25" s="20"/>
      <c r="G25" s="17"/>
      <c r="H25" s="17"/>
      <c r="I25" s="17" t="s">
        <v>67</v>
      </c>
      <c r="J25" s="17"/>
      <c r="K25" s="17"/>
      <c r="L25" s="17">
        <v>15</v>
      </c>
      <c r="M25" s="19">
        <v>250</v>
      </c>
      <c r="N25" s="21">
        <f t="shared" si="0"/>
        <v>2.5</v>
      </c>
      <c r="O25" s="21"/>
      <c r="P25" s="17"/>
      <c r="Q25" s="19"/>
      <c r="R25" s="17"/>
      <c r="S25" s="21"/>
      <c r="T25" s="21"/>
      <c r="U25" s="21"/>
      <c r="V25" s="17"/>
      <c r="W25" s="21"/>
      <c r="X25" s="22"/>
      <c r="Y25" s="21"/>
      <c r="Z25" s="22"/>
      <c r="AA25" s="22"/>
      <c r="AB25" s="21"/>
      <c r="AC25" s="23"/>
    </row>
    <row r="26" spans="1:29" ht="19.5" customHeight="1" x14ac:dyDescent="0.25">
      <c r="A26" s="16" t="s">
        <v>76</v>
      </c>
      <c r="B26" s="17" t="s">
        <v>53</v>
      </c>
      <c r="C26" s="18">
        <v>1</v>
      </c>
      <c r="D26" s="19" t="s">
        <v>57</v>
      </c>
      <c r="E26" s="19" t="s">
        <v>57</v>
      </c>
      <c r="F26" s="20"/>
      <c r="G26" s="17">
        <v>3</v>
      </c>
      <c r="H26" s="17" t="s">
        <v>57</v>
      </c>
      <c r="I26" s="17" t="s">
        <v>67</v>
      </c>
      <c r="J26" s="17" t="s">
        <v>57</v>
      </c>
      <c r="K26" s="17" t="s">
        <v>57</v>
      </c>
      <c r="L26" s="17">
        <v>15</v>
      </c>
      <c r="M26" s="19">
        <v>0.5</v>
      </c>
      <c r="N26" s="21">
        <f t="shared" si="0"/>
        <v>2</v>
      </c>
      <c r="O26" s="21" t="s">
        <v>57</v>
      </c>
      <c r="P26" s="17">
        <f>N26*L26</f>
        <v>30</v>
      </c>
      <c r="Q26" s="19" t="s">
        <v>57</v>
      </c>
      <c r="R26" s="19">
        <f>контроль!E61</f>
        <v>627.10899009900993</v>
      </c>
      <c r="S26" s="21" t="s">
        <v>57</v>
      </c>
      <c r="T26" s="21">
        <f>R26*P26</f>
        <v>18813.269702970298</v>
      </c>
      <c r="U26" s="21" t="s">
        <v>57</v>
      </c>
      <c r="V26" s="17" t="s">
        <v>57</v>
      </c>
      <c r="W26" s="21" t="s">
        <v>57</v>
      </c>
      <c r="X26" s="22" t="s">
        <v>57</v>
      </c>
      <c r="Y26" s="21" t="s">
        <v>57</v>
      </c>
      <c r="Z26" s="22"/>
      <c r="AA26" s="22"/>
      <c r="AB26" s="21"/>
      <c r="AC26" s="23"/>
    </row>
    <row r="27" spans="1:29" ht="18" customHeight="1" x14ac:dyDescent="0.25">
      <c r="A27" s="16" t="s">
        <v>77</v>
      </c>
      <c r="B27" s="17" t="s">
        <v>9</v>
      </c>
      <c r="C27" s="18">
        <v>1</v>
      </c>
      <c r="D27" s="19">
        <v>4.9000000000000004</v>
      </c>
      <c r="E27" s="19">
        <v>0.3</v>
      </c>
      <c r="F27" s="20"/>
      <c r="G27" s="17">
        <v>1</v>
      </c>
      <c r="H27" s="17" t="s">
        <v>59</v>
      </c>
      <c r="I27" s="17" t="s">
        <v>78</v>
      </c>
      <c r="J27" s="17">
        <v>1</v>
      </c>
      <c r="K27" s="17">
        <v>1</v>
      </c>
      <c r="L27" s="17" t="s">
        <v>57</v>
      </c>
      <c r="M27" s="19">
        <v>45.2</v>
      </c>
      <c r="N27" s="21">
        <f t="shared" si="0"/>
        <v>2.2123893805309734E-2</v>
      </c>
      <c r="O27" s="21">
        <f>N27*K27*7</f>
        <v>0.15486725663716813</v>
      </c>
      <c r="P27" s="17" t="s">
        <v>57</v>
      </c>
      <c r="Q27" s="19">
        <f>контроль!F64</f>
        <v>923.87</v>
      </c>
      <c r="R27" s="17" t="s">
        <v>57</v>
      </c>
      <c r="S27" s="21">
        <f>Q27*O27</f>
        <v>143.07721238938052</v>
      </c>
      <c r="T27" s="21" t="s">
        <v>57</v>
      </c>
      <c r="U27" s="21">
        <v>10.02</v>
      </c>
      <c r="V27" s="17"/>
      <c r="W27" s="21">
        <v>8.5</v>
      </c>
      <c r="X27" s="21">
        <f>E27/W27</f>
        <v>3.5294117647058823E-2</v>
      </c>
      <c r="Y27" s="21">
        <f>X27*AB55</f>
        <v>163.83529411764707</v>
      </c>
      <c r="Z27" s="22"/>
      <c r="AA27" s="22"/>
      <c r="AB27" s="21"/>
      <c r="AC27" s="23"/>
    </row>
    <row r="28" spans="1:29" ht="21.75" customHeight="1" x14ac:dyDescent="0.25">
      <c r="A28" s="16" t="s">
        <v>79</v>
      </c>
      <c r="B28" s="17" t="s">
        <v>9</v>
      </c>
      <c r="C28" s="18">
        <v>1</v>
      </c>
      <c r="D28" s="19">
        <v>4.9000000000000004</v>
      </c>
      <c r="E28" s="19">
        <v>0.9</v>
      </c>
      <c r="F28" s="20"/>
      <c r="G28" s="17">
        <v>1</v>
      </c>
      <c r="H28" s="17" t="s">
        <v>59</v>
      </c>
      <c r="I28" s="24" t="s">
        <v>80</v>
      </c>
      <c r="J28" s="17">
        <v>1</v>
      </c>
      <c r="K28" s="17">
        <v>1</v>
      </c>
      <c r="L28" s="17" t="s">
        <v>57</v>
      </c>
      <c r="M28" s="19">
        <v>5.4</v>
      </c>
      <c r="N28" s="21">
        <f t="shared" si="0"/>
        <v>0.18518518518518517</v>
      </c>
      <c r="O28" s="21">
        <f>N28*K28*7</f>
        <v>1.2962962962962963</v>
      </c>
      <c r="P28" s="17" t="s">
        <v>57</v>
      </c>
      <c r="Q28" s="19">
        <f>контроль!F64</f>
        <v>923.87</v>
      </c>
      <c r="R28" s="17" t="s">
        <v>57</v>
      </c>
      <c r="S28" s="21">
        <f>Q28*O28</f>
        <v>1197.6092592592593</v>
      </c>
      <c r="T28" s="21" t="s">
        <v>57</v>
      </c>
      <c r="U28" s="21">
        <v>37.07</v>
      </c>
      <c r="V28" s="19"/>
      <c r="W28" s="21">
        <v>8.5</v>
      </c>
      <c r="X28" s="25">
        <f>E28/W28</f>
        <v>0.10588235294117647</v>
      </c>
      <c r="Y28" s="21">
        <f>X28*AB55</f>
        <v>491.50588235294117</v>
      </c>
      <c r="Z28" s="22"/>
      <c r="AA28" s="22"/>
      <c r="AB28" s="21"/>
      <c r="AC28" s="23"/>
    </row>
    <row r="29" spans="1:29" ht="19.5" customHeight="1" x14ac:dyDescent="0.25">
      <c r="A29" s="16" t="s">
        <v>81</v>
      </c>
      <c r="B29" s="17" t="s">
        <v>82</v>
      </c>
      <c r="C29" s="18">
        <v>46620</v>
      </c>
      <c r="D29" s="26" t="s">
        <v>57</v>
      </c>
      <c r="E29" s="17" t="s">
        <v>57</v>
      </c>
      <c r="F29" s="20"/>
      <c r="G29" s="17">
        <v>3</v>
      </c>
      <c r="H29" s="17" t="s">
        <v>83</v>
      </c>
      <c r="I29" s="17" t="s">
        <v>57</v>
      </c>
      <c r="J29" s="17" t="s">
        <v>83</v>
      </c>
      <c r="K29" s="17" t="s">
        <v>83</v>
      </c>
      <c r="L29" s="17">
        <v>15</v>
      </c>
      <c r="M29" s="17">
        <v>105</v>
      </c>
      <c r="N29" s="21">
        <v>1.25</v>
      </c>
      <c r="O29" s="21" t="s">
        <v>83</v>
      </c>
      <c r="P29" s="26">
        <f>N29*L29</f>
        <v>18.75</v>
      </c>
      <c r="Q29" s="17" t="s">
        <v>83</v>
      </c>
      <c r="R29" s="19">
        <f>контроль!E61</f>
        <v>627.10899009900993</v>
      </c>
      <c r="S29" s="21" t="s">
        <v>57</v>
      </c>
      <c r="T29" s="21">
        <f>P29*R29</f>
        <v>11758.293564356436</v>
      </c>
      <c r="U29" s="21">
        <v>76738.5</v>
      </c>
      <c r="V29" s="19"/>
      <c r="W29" s="21" t="s">
        <v>83</v>
      </c>
      <c r="X29" s="22" t="s">
        <v>83</v>
      </c>
      <c r="Y29" s="21" t="s">
        <v>83</v>
      </c>
      <c r="Z29" s="27"/>
      <c r="AA29" s="21"/>
      <c r="AB29" s="21"/>
      <c r="AC29" s="23"/>
    </row>
    <row r="30" spans="1:29" ht="15.75" customHeight="1" x14ac:dyDescent="0.25">
      <c r="A30" s="16" t="s">
        <v>84</v>
      </c>
      <c r="B30" s="17" t="s">
        <v>9</v>
      </c>
      <c r="C30" s="19">
        <v>1</v>
      </c>
      <c r="D30" s="26">
        <v>4.9000000000000004</v>
      </c>
      <c r="E30" s="80">
        <v>3.4</v>
      </c>
      <c r="F30" s="20"/>
      <c r="G30" s="17">
        <v>1</v>
      </c>
      <c r="H30" s="17" t="s">
        <v>59</v>
      </c>
      <c r="I30" s="17" t="s">
        <v>80</v>
      </c>
      <c r="J30" s="17">
        <v>1</v>
      </c>
      <c r="K30" s="17">
        <v>1</v>
      </c>
      <c r="L30" s="17" t="s">
        <v>83</v>
      </c>
      <c r="M30" s="17">
        <v>7</v>
      </c>
      <c r="N30" s="21">
        <f>C30/M30</f>
        <v>0.14285714285714285</v>
      </c>
      <c r="O30" s="21">
        <f>N30*K30*7</f>
        <v>1</v>
      </c>
      <c r="P30" s="17" t="s">
        <v>83</v>
      </c>
      <c r="Q30" s="19">
        <f>контроль!F64</f>
        <v>923.87</v>
      </c>
      <c r="R30" s="17" t="s">
        <v>83</v>
      </c>
      <c r="S30" s="21">
        <f>Q30*O30</f>
        <v>923.87</v>
      </c>
      <c r="T30" s="21" t="s">
        <v>83</v>
      </c>
      <c r="U30" s="21">
        <v>28.05</v>
      </c>
      <c r="V30" s="19"/>
      <c r="W30" s="21">
        <v>8.5</v>
      </c>
      <c r="X30" s="22">
        <f>E30/W30</f>
        <v>0.39999999999999997</v>
      </c>
      <c r="Y30" s="21">
        <f>X30*AB55</f>
        <v>1856.8</v>
      </c>
      <c r="Z30" s="27"/>
      <c r="AA30" s="21"/>
      <c r="AB30" s="21"/>
      <c r="AC30" s="23"/>
    </row>
    <row r="31" spans="1:29" ht="17.25" customHeight="1" x14ac:dyDescent="0.25">
      <c r="A31" s="16" t="s">
        <v>85</v>
      </c>
      <c r="B31" s="17" t="s">
        <v>9</v>
      </c>
      <c r="C31" s="18">
        <v>1</v>
      </c>
      <c r="D31" s="26">
        <v>4.9000000000000004</v>
      </c>
      <c r="E31" s="81">
        <v>1.5</v>
      </c>
      <c r="F31" s="20"/>
      <c r="G31" s="17">
        <v>1</v>
      </c>
      <c r="H31" s="17" t="s">
        <v>59</v>
      </c>
      <c r="I31" s="17" t="s">
        <v>60</v>
      </c>
      <c r="J31" s="17">
        <v>1</v>
      </c>
      <c r="K31" s="17">
        <v>1</v>
      </c>
      <c r="L31" s="17" t="s">
        <v>83</v>
      </c>
      <c r="M31" s="17">
        <v>16.2</v>
      </c>
      <c r="N31" s="21">
        <f>C31/M31</f>
        <v>6.1728395061728399E-2</v>
      </c>
      <c r="O31" s="21">
        <f>N6:N31*K6:K31*7</f>
        <v>0.4320987654320988</v>
      </c>
      <c r="P31" s="17" t="s">
        <v>83</v>
      </c>
      <c r="Q31" s="17">
        <f>контроль!H64</f>
        <v>1228.6300000000001</v>
      </c>
      <c r="R31" s="17" t="s">
        <v>83</v>
      </c>
      <c r="S31" s="21">
        <f>Q31*O31</f>
        <v>530.88950617283956</v>
      </c>
      <c r="T31" s="21" t="s">
        <v>83</v>
      </c>
      <c r="U31" s="21">
        <v>6.75</v>
      </c>
      <c r="V31" s="19"/>
      <c r="W31" s="21">
        <v>8.5</v>
      </c>
      <c r="X31" s="25">
        <f>E31/W31</f>
        <v>0.17647058823529413</v>
      </c>
      <c r="Y31" s="21">
        <f>AB55*X31</f>
        <v>819.17647058823536</v>
      </c>
      <c r="Z31" s="27"/>
      <c r="AA31" s="21"/>
      <c r="AB31" s="21"/>
      <c r="AC31" s="23"/>
    </row>
    <row r="32" spans="1:29" ht="33.75" customHeight="1" x14ac:dyDescent="0.25">
      <c r="A32" s="16" t="s">
        <v>86</v>
      </c>
      <c r="B32" s="17" t="s">
        <v>15</v>
      </c>
      <c r="C32" s="18">
        <v>46620</v>
      </c>
      <c r="D32" s="26" t="s">
        <v>83</v>
      </c>
      <c r="E32" s="1" t="s">
        <v>87</v>
      </c>
      <c r="F32" s="20"/>
      <c r="G32" s="17">
        <v>10</v>
      </c>
      <c r="H32" s="17" t="s">
        <v>83</v>
      </c>
      <c r="I32" s="17" t="s">
        <v>83</v>
      </c>
      <c r="J32" s="17" t="s">
        <v>83</v>
      </c>
      <c r="K32" s="17" t="s">
        <v>88</v>
      </c>
      <c r="L32" s="17">
        <v>15</v>
      </c>
      <c r="M32" s="17">
        <v>500</v>
      </c>
      <c r="N32" s="21">
        <v>1.25</v>
      </c>
      <c r="O32" s="21" t="s">
        <v>83</v>
      </c>
      <c r="P32" s="17">
        <f>N32*L32</f>
        <v>18.75</v>
      </c>
      <c r="Q32" s="17" t="s">
        <v>83</v>
      </c>
      <c r="R32" s="19">
        <f>контроль!E61</f>
        <v>627.10899009900993</v>
      </c>
      <c r="S32" s="21" t="s">
        <v>83</v>
      </c>
      <c r="T32" s="21">
        <f>R32*P32</f>
        <v>11758.293564356436</v>
      </c>
      <c r="U32" s="21">
        <v>25209.07</v>
      </c>
      <c r="V32" s="19"/>
      <c r="W32" s="21" t="s">
        <v>83</v>
      </c>
      <c r="X32" s="22" t="s">
        <v>83</v>
      </c>
      <c r="Y32" s="21" t="s">
        <v>83</v>
      </c>
      <c r="Z32" s="27"/>
      <c r="AA32" s="21"/>
      <c r="AB32" s="21"/>
      <c r="AC32" s="23"/>
    </row>
    <row r="33" spans="1:29" ht="36" customHeight="1" x14ac:dyDescent="0.25">
      <c r="A33" s="16" t="s">
        <v>89</v>
      </c>
      <c r="B33" s="17" t="s">
        <v>15</v>
      </c>
      <c r="C33" s="18">
        <v>46620</v>
      </c>
      <c r="D33" s="26" t="s">
        <v>83</v>
      </c>
      <c r="E33" s="17" t="s">
        <v>83</v>
      </c>
      <c r="F33" s="20"/>
      <c r="G33" s="17">
        <v>10</v>
      </c>
      <c r="H33" s="17" t="s">
        <v>83</v>
      </c>
      <c r="I33" s="17" t="s">
        <v>83</v>
      </c>
      <c r="J33" s="17" t="s">
        <v>83</v>
      </c>
      <c r="K33" s="17" t="s">
        <v>83</v>
      </c>
      <c r="L33" s="17">
        <v>15</v>
      </c>
      <c r="M33" s="17">
        <v>500</v>
      </c>
      <c r="N33" s="21">
        <v>1.25</v>
      </c>
      <c r="O33" s="21"/>
      <c r="P33" s="17">
        <f>N33*L33</f>
        <v>18.75</v>
      </c>
      <c r="Q33" s="17" t="s">
        <v>83</v>
      </c>
      <c r="R33" s="19">
        <f>контроль!E61</f>
        <v>627.10899009900993</v>
      </c>
      <c r="S33" s="21" t="s">
        <v>83</v>
      </c>
      <c r="T33" s="30">
        <f>R33*P33</f>
        <v>11758.293564356436</v>
      </c>
      <c r="U33" s="21">
        <v>63201</v>
      </c>
      <c r="V33" s="19"/>
      <c r="W33" s="21" t="s">
        <v>83</v>
      </c>
      <c r="X33" s="22" t="s">
        <v>83</v>
      </c>
      <c r="Y33" s="21" t="s">
        <v>83</v>
      </c>
      <c r="Z33" s="27"/>
      <c r="AA33" s="21"/>
      <c r="AB33" s="21"/>
      <c r="AC33" s="23"/>
    </row>
    <row r="34" spans="1:29" ht="34.5" customHeight="1" x14ac:dyDescent="0.25">
      <c r="A34" s="16" t="s">
        <v>90</v>
      </c>
      <c r="B34" s="17" t="s">
        <v>15</v>
      </c>
      <c r="C34" s="18">
        <v>46620</v>
      </c>
      <c r="D34" s="26" t="s">
        <v>83</v>
      </c>
      <c r="E34" s="17" t="s">
        <v>83</v>
      </c>
      <c r="F34" s="20"/>
      <c r="G34" s="17">
        <v>10</v>
      </c>
      <c r="H34" s="17" t="s">
        <v>83</v>
      </c>
      <c r="I34" s="17" t="s">
        <v>83</v>
      </c>
      <c r="J34" s="17" t="s">
        <v>83</v>
      </c>
      <c r="K34" s="17" t="s">
        <v>83</v>
      </c>
      <c r="L34" s="17">
        <v>15</v>
      </c>
      <c r="M34" s="17">
        <v>500</v>
      </c>
      <c r="N34" s="21">
        <v>1.25</v>
      </c>
      <c r="O34" s="21" t="s">
        <v>83</v>
      </c>
      <c r="P34" s="26">
        <f>N34*L34</f>
        <v>18.75</v>
      </c>
      <c r="Q34" s="17" t="s">
        <v>83</v>
      </c>
      <c r="R34" s="19">
        <f>контроль!E61</f>
        <v>627.10899009900993</v>
      </c>
      <c r="S34" s="21" t="s">
        <v>83</v>
      </c>
      <c r="T34" s="21">
        <f>R34*P34</f>
        <v>11758.293564356436</v>
      </c>
      <c r="U34" s="21">
        <v>21066.85</v>
      </c>
      <c r="V34" s="19"/>
      <c r="W34" s="21" t="s">
        <v>83</v>
      </c>
      <c r="X34" s="22" t="s">
        <v>83</v>
      </c>
      <c r="Y34" s="21"/>
      <c r="Z34" s="27"/>
      <c r="AA34" s="21"/>
      <c r="AB34" s="21"/>
      <c r="AC34" s="23"/>
    </row>
    <row r="35" spans="1:29" ht="33" customHeight="1" x14ac:dyDescent="0.25">
      <c r="A35" s="16" t="s">
        <v>91</v>
      </c>
      <c r="B35" s="17" t="s">
        <v>9</v>
      </c>
      <c r="C35" s="18">
        <v>1</v>
      </c>
      <c r="D35" s="26">
        <v>4.9000000000000004</v>
      </c>
      <c r="E35" s="17">
        <v>3.3</v>
      </c>
      <c r="F35" s="20"/>
      <c r="G35" s="17">
        <v>1</v>
      </c>
      <c r="H35" s="17" t="s">
        <v>92</v>
      </c>
      <c r="I35" s="17" t="s">
        <v>80</v>
      </c>
      <c r="J35" s="17">
        <v>1</v>
      </c>
      <c r="K35" s="17">
        <v>1</v>
      </c>
      <c r="L35" s="17" t="s">
        <v>83</v>
      </c>
      <c r="M35" s="17">
        <v>7.3</v>
      </c>
      <c r="N35" s="21">
        <f>C35/M35</f>
        <v>0.13698630136986301</v>
      </c>
      <c r="O35" s="21">
        <f>N35*K35*7</f>
        <v>0.95890410958904104</v>
      </c>
      <c r="P35" s="17" t="s">
        <v>83</v>
      </c>
      <c r="Q35" s="19">
        <f>контроль!F64</f>
        <v>923.87</v>
      </c>
      <c r="R35" s="17" t="s">
        <v>83</v>
      </c>
      <c r="S35" s="21">
        <f>Q35*O35</f>
        <v>885.90273972602733</v>
      </c>
      <c r="T35" s="21" t="s">
        <v>83</v>
      </c>
      <c r="U35" s="21">
        <v>28.05</v>
      </c>
      <c r="V35" s="19"/>
      <c r="W35" s="21">
        <v>8.5</v>
      </c>
      <c r="X35" s="25">
        <f>E35/W35</f>
        <v>0.38823529411764701</v>
      </c>
      <c r="Y35" s="21">
        <f>X35*AB55</f>
        <v>1802.1882352941175</v>
      </c>
      <c r="Z35" s="27"/>
      <c r="AA35" s="21"/>
      <c r="AB35" s="21"/>
      <c r="AC35" s="23"/>
    </row>
    <row r="36" spans="1:29" ht="36.75" customHeight="1" x14ac:dyDescent="0.25">
      <c r="A36" s="16" t="s">
        <v>93</v>
      </c>
      <c r="B36" s="17" t="s">
        <v>9</v>
      </c>
      <c r="C36" s="18">
        <v>1</v>
      </c>
      <c r="D36" s="26">
        <v>4.9000000000000004</v>
      </c>
      <c r="E36" s="17">
        <v>3.4</v>
      </c>
      <c r="F36" s="20"/>
      <c r="G36" s="17">
        <v>1</v>
      </c>
      <c r="H36" s="17" t="s">
        <v>92</v>
      </c>
      <c r="I36" s="17" t="s">
        <v>80</v>
      </c>
      <c r="J36" s="17">
        <v>1</v>
      </c>
      <c r="K36" s="17">
        <v>1</v>
      </c>
      <c r="L36" s="17" t="s">
        <v>83</v>
      </c>
      <c r="M36" s="17">
        <v>7.3</v>
      </c>
      <c r="N36" s="21">
        <f>C36/M36</f>
        <v>0.13698630136986301</v>
      </c>
      <c r="O36" s="21">
        <f>N11:N36*K11:K36*7</f>
        <v>0.95890410958904104</v>
      </c>
      <c r="P36" s="17" t="s">
        <v>94</v>
      </c>
      <c r="Q36" s="19">
        <f>контроль!F64</f>
        <v>923.87</v>
      </c>
      <c r="R36" s="17" t="s">
        <v>83</v>
      </c>
      <c r="S36" s="21">
        <f>Q36*O36</f>
        <v>885.90273972602733</v>
      </c>
      <c r="T36" s="21" t="s">
        <v>83</v>
      </c>
      <c r="U36" s="21">
        <v>20.02</v>
      </c>
      <c r="V36" s="19"/>
      <c r="W36" s="21">
        <v>8.5</v>
      </c>
      <c r="X36" s="22">
        <f>E36/W36</f>
        <v>0.39999999999999997</v>
      </c>
      <c r="Y36" s="21">
        <f>X36*AB55</f>
        <v>1856.8</v>
      </c>
      <c r="Z36" s="27"/>
      <c r="AA36" s="21"/>
      <c r="AB36" s="21"/>
      <c r="AC36" s="23"/>
    </row>
    <row r="37" spans="1:29" ht="29.25" customHeight="1" x14ac:dyDescent="0.25">
      <c r="A37" s="16" t="s">
        <v>95</v>
      </c>
      <c r="B37" s="17" t="s">
        <v>9</v>
      </c>
      <c r="C37" s="18">
        <v>1</v>
      </c>
      <c r="D37" s="26">
        <v>4.9000000000000004</v>
      </c>
      <c r="E37" s="17">
        <v>1.5</v>
      </c>
      <c r="F37" s="20"/>
      <c r="G37" s="17">
        <v>1</v>
      </c>
      <c r="H37" s="17" t="s">
        <v>92</v>
      </c>
      <c r="I37" s="17" t="s">
        <v>60</v>
      </c>
      <c r="J37" s="17">
        <v>1</v>
      </c>
      <c r="K37" s="17">
        <v>1</v>
      </c>
      <c r="L37" s="17" t="s">
        <v>83</v>
      </c>
      <c r="M37" s="17">
        <v>16.2</v>
      </c>
      <c r="N37" s="21">
        <f>C37/M37</f>
        <v>6.1728395061728399E-2</v>
      </c>
      <c r="O37" s="21">
        <f>N12:N37*K12:K37*7</f>
        <v>0.4320987654320988</v>
      </c>
      <c r="P37" s="17" t="s">
        <v>83</v>
      </c>
      <c r="Q37" s="17">
        <f>контроль!H64</f>
        <v>1228.6300000000001</v>
      </c>
      <c r="R37" s="17" t="s">
        <v>83</v>
      </c>
      <c r="S37" s="21">
        <f>Q37*O37</f>
        <v>530.88950617283956</v>
      </c>
      <c r="T37" s="21"/>
      <c r="U37" s="21">
        <v>13.05</v>
      </c>
      <c r="V37" s="19"/>
      <c r="W37" s="21">
        <v>8.5</v>
      </c>
      <c r="X37" s="25">
        <f>E37/W37</f>
        <v>0.17647058823529413</v>
      </c>
      <c r="Y37" s="21">
        <f>AB55*X37</f>
        <v>819.17647058823536</v>
      </c>
      <c r="Z37" s="27"/>
      <c r="AA37" s="21"/>
      <c r="AB37" s="21"/>
      <c r="AC37" s="23"/>
    </row>
    <row r="38" spans="1:29" ht="19.5" customHeight="1" x14ac:dyDescent="0.25">
      <c r="A38" s="16" t="s">
        <v>96</v>
      </c>
      <c r="B38" s="17" t="s">
        <v>9</v>
      </c>
      <c r="C38" s="18">
        <v>1</v>
      </c>
      <c r="D38" s="26">
        <v>4.9000000000000004</v>
      </c>
      <c r="E38" s="17">
        <v>1.5</v>
      </c>
      <c r="F38" s="20"/>
      <c r="G38" s="17">
        <v>1</v>
      </c>
      <c r="H38" s="17" t="s">
        <v>92</v>
      </c>
      <c r="I38" s="17" t="s">
        <v>60</v>
      </c>
      <c r="J38" s="17">
        <v>1</v>
      </c>
      <c r="K38" s="17">
        <v>1</v>
      </c>
      <c r="L38" s="17" t="s">
        <v>83</v>
      </c>
      <c r="M38" s="17">
        <v>16.2</v>
      </c>
      <c r="N38" s="21">
        <f>C38/M38</f>
        <v>6.1728395061728399E-2</v>
      </c>
      <c r="O38" s="21">
        <f>N13:N38*K13:K38*7</f>
        <v>0.4320987654320988</v>
      </c>
      <c r="P38" s="17" t="s">
        <v>83</v>
      </c>
      <c r="Q38" s="17">
        <f>контроль!H64</f>
        <v>1228.6300000000001</v>
      </c>
      <c r="R38" s="17" t="s">
        <v>83</v>
      </c>
      <c r="S38" s="21">
        <f>Q38*O38</f>
        <v>530.88950617283956</v>
      </c>
      <c r="T38" s="21"/>
      <c r="U38" s="21">
        <v>21.75</v>
      </c>
      <c r="V38" s="19"/>
      <c r="W38" s="21">
        <v>8.5</v>
      </c>
      <c r="X38" s="25">
        <f>E38/W38</f>
        <v>0.17647058823529413</v>
      </c>
      <c r="Y38" s="21">
        <f>X38*AB55</f>
        <v>819.17647058823536</v>
      </c>
      <c r="Z38" s="27"/>
      <c r="AA38" s="21"/>
      <c r="AB38" s="21"/>
      <c r="AC38" s="23"/>
    </row>
    <row r="39" spans="1:29" ht="27.75" customHeight="1" x14ac:dyDescent="0.25">
      <c r="A39" s="16" t="s">
        <v>97</v>
      </c>
      <c r="B39" s="17" t="s">
        <v>15</v>
      </c>
      <c r="C39" s="18">
        <v>46620</v>
      </c>
      <c r="D39" s="26" t="s">
        <v>83</v>
      </c>
      <c r="E39" s="17" t="s">
        <v>83</v>
      </c>
      <c r="F39" s="20"/>
      <c r="G39" s="17">
        <v>10</v>
      </c>
      <c r="H39" s="17" t="s">
        <v>83</v>
      </c>
      <c r="I39" s="17" t="s">
        <v>83</v>
      </c>
      <c r="J39" s="17" t="s">
        <v>83</v>
      </c>
      <c r="K39" s="17" t="s">
        <v>83</v>
      </c>
      <c r="L39" s="17">
        <v>15</v>
      </c>
      <c r="M39" s="17">
        <v>500</v>
      </c>
      <c r="N39" s="21">
        <v>1.25</v>
      </c>
      <c r="O39" s="21"/>
      <c r="P39" s="17">
        <f>N39*L39*7</f>
        <v>131.25</v>
      </c>
      <c r="Q39" s="17" t="s">
        <v>83</v>
      </c>
      <c r="R39" s="19">
        <f>контроль!E61</f>
        <v>627.10899009900993</v>
      </c>
      <c r="S39" s="21" t="s">
        <v>83</v>
      </c>
      <c r="T39" s="21">
        <f>R39*P39</f>
        <v>82308.054950495047</v>
      </c>
      <c r="U39" s="21">
        <v>63190.89</v>
      </c>
      <c r="V39" s="19"/>
      <c r="W39" s="21" t="s">
        <v>83</v>
      </c>
      <c r="X39" s="22" t="s">
        <v>83</v>
      </c>
      <c r="Y39" s="21" t="s">
        <v>83</v>
      </c>
      <c r="Z39" s="27"/>
      <c r="AA39" s="21"/>
      <c r="AB39" s="21"/>
      <c r="AC39" s="23"/>
    </row>
    <row r="40" spans="1:29" ht="22.5" customHeight="1" x14ac:dyDescent="0.25">
      <c r="A40" s="31" t="s">
        <v>98</v>
      </c>
      <c r="B40" s="32" t="s">
        <v>15</v>
      </c>
      <c r="C40" s="33">
        <v>46620</v>
      </c>
      <c r="D40" s="34" t="s">
        <v>57</v>
      </c>
      <c r="E40" s="32" t="s">
        <v>83</v>
      </c>
      <c r="F40" s="35"/>
      <c r="G40" s="32">
        <v>10</v>
      </c>
      <c r="H40" s="32" t="s">
        <v>57</v>
      </c>
      <c r="I40" s="32" t="s">
        <v>83</v>
      </c>
      <c r="J40" s="32" t="s">
        <v>83</v>
      </c>
      <c r="K40" s="32" t="s">
        <v>83</v>
      </c>
      <c r="L40" s="32">
        <v>15</v>
      </c>
      <c r="M40" s="32">
        <v>500</v>
      </c>
      <c r="N40" s="34">
        <v>1.25</v>
      </c>
      <c r="O40" s="21"/>
      <c r="P40" s="32">
        <f>N40*L40*7</f>
        <v>131.25</v>
      </c>
      <c r="Q40" s="32" t="s">
        <v>57</v>
      </c>
      <c r="R40" s="36">
        <f>контроль!E61</f>
        <v>627.10899009900993</v>
      </c>
      <c r="S40" s="36" t="s">
        <v>57</v>
      </c>
      <c r="T40" s="34">
        <f>R40*P40</f>
        <v>82308.054950495047</v>
      </c>
      <c r="U40" s="36">
        <v>46701.75</v>
      </c>
      <c r="V40" s="36"/>
      <c r="W40" s="32" t="s">
        <v>83</v>
      </c>
      <c r="X40" s="32" t="s">
        <v>83</v>
      </c>
      <c r="Y40" s="36" t="s">
        <v>83</v>
      </c>
      <c r="Z40" s="32"/>
      <c r="AA40" s="32"/>
      <c r="AB40" s="36"/>
      <c r="AC40" s="37"/>
    </row>
    <row r="41" spans="1:29" ht="18.75" customHeight="1" x14ac:dyDescent="0.2">
      <c r="A41" s="39" t="s">
        <v>99</v>
      </c>
      <c r="B41" s="42" t="s">
        <v>100</v>
      </c>
      <c r="C41" s="42" t="s">
        <v>100</v>
      </c>
      <c r="D41" s="42" t="s">
        <v>100</v>
      </c>
      <c r="E41" s="40">
        <f>SUM(E17:E40)</f>
        <v>32.4</v>
      </c>
      <c r="F41" s="41" t="s">
        <v>100</v>
      </c>
      <c r="G41" s="42" t="s">
        <v>100</v>
      </c>
      <c r="H41" s="42" t="s">
        <v>100</v>
      </c>
      <c r="I41" s="42" t="s">
        <v>100</v>
      </c>
      <c r="J41" s="42" t="s">
        <v>100</v>
      </c>
      <c r="K41" s="42" t="s">
        <v>100</v>
      </c>
      <c r="L41" s="42" t="s">
        <v>100</v>
      </c>
      <c r="M41" s="42" t="s">
        <v>100</v>
      </c>
      <c r="N41" s="43">
        <f>SUM(N17:N40)</f>
        <v>14.907525158722981</v>
      </c>
      <c r="O41" s="40">
        <v>107.23</v>
      </c>
      <c r="P41" s="40">
        <f>SUM(P26:P40)</f>
        <v>367.5</v>
      </c>
      <c r="Q41" s="44">
        <f>SUM(Q17:Q39)</f>
        <v>15477.030000000006</v>
      </c>
      <c r="R41" s="44">
        <f>SUM(R26:R40)</f>
        <v>4389.7629306930694</v>
      </c>
      <c r="S41" s="40">
        <f>SUM(S17:S40)</f>
        <v>35185.596586102729</v>
      </c>
      <c r="T41" s="40">
        <f>SUM(T26:T40)</f>
        <v>230462.55386138611</v>
      </c>
      <c r="U41" s="40">
        <f>SUM(U17:U40)</f>
        <v>299209.17</v>
      </c>
      <c r="V41" s="40"/>
      <c r="W41" s="45"/>
      <c r="X41" s="40"/>
      <c r="Y41" s="40">
        <f>SUM(Y17:Y40)</f>
        <v>22118.952941176467</v>
      </c>
      <c r="Z41" s="40"/>
      <c r="AA41" s="40"/>
      <c r="AB41" s="40"/>
      <c r="AC41" s="46"/>
    </row>
    <row r="42" spans="1:29" ht="14.25" x14ac:dyDescent="0.2">
      <c r="A42" s="47" t="s">
        <v>101</v>
      </c>
      <c r="B42" s="48" t="s">
        <v>100</v>
      </c>
      <c r="C42" s="44" t="s">
        <v>100</v>
      </c>
      <c r="D42" s="44" t="s">
        <v>100</v>
      </c>
      <c r="E42" s="44" t="s">
        <v>100</v>
      </c>
      <c r="F42" s="44" t="s">
        <v>100</v>
      </c>
      <c r="G42" s="44" t="s">
        <v>100</v>
      </c>
      <c r="H42" s="44" t="s">
        <v>100</v>
      </c>
      <c r="I42" s="44" t="s">
        <v>100</v>
      </c>
      <c r="J42" s="44" t="s">
        <v>100</v>
      </c>
      <c r="K42" s="44" t="s">
        <v>100</v>
      </c>
      <c r="L42" s="44" t="s">
        <v>100</v>
      </c>
      <c r="M42" s="44" t="s">
        <v>100</v>
      </c>
      <c r="N42" s="43"/>
      <c r="O42" s="40"/>
      <c r="P42" s="40"/>
      <c r="Q42" s="44" t="s">
        <v>100</v>
      </c>
      <c r="R42" s="44" t="s">
        <v>100</v>
      </c>
      <c r="S42" s="40"/>
      <c r="T42" s="40"/>
      <c r="U42" s="40"/>
      <c r="V42" s="40"/>
      <c r="W42" s="40" t="s">
        <v>100</v>
      </c>
      <c r="X42" s="40"/>
      <c r="Y42" s="40"/>
      <c r="Z42" s="40"/>
      <c r="AA42" s="40"/>
      <c r="AB42" s="40"/>
      <c r="AC42" s="46"/>
    </row>
    <row r="43" spans="1:29" x14ac:dyDescent="0.2">
      <c r="A43" s="4"/>
      <c r="B43" s="52"/>
      <c r="C43" s="52"/>
      <c r="D43" s="52"/>
      <c r="E43" s="49"/>
      <c r="F43" s="50"/>
      <c r="G43" s="52"/>
      <c r="H43" s="51"/>
      <c r="I43" s="51"/>
      <c r="J43" s="51"/>
      <c r="K43" s="52"/>
      <c r="L43" s="52"/>
      <c r="M43" s="52"/>
      <c r="N43" s="49"/>
      <c r="O43" s="49"/>
      <c r="P43" s="49"/>
      <c r="Q43" s="49"/>
      <c r="R43" s="49"/>
      <c r="S43" s="49"/>
      <c r="T43" s="49"/>
      <c r="U43" s="49"/>
      <c r="V43" s="52"/>
      <c r="W43" s="52"/>
      <c r="X43" s="49"/>
      <c r="Y43" s="49"/>
      <c r="Z43" s="52"/>
      <c r="AA43" s="52"/>
      <c r="AB43" s="49"/>
      <c r="AC43" s="49"/>
    </row>
    <row r="44" spans="1:29" ht="18.75" customHeight="1" x14ac:dyDescent="0.2">
      <c r="A44" s="4" t="s">
        <v>102</v>
      </c>
      <c r="B44" s="4" t="s">
        <v>103</v>
      </c>
      <c r="C44" s="4" t="s">
        <v>104</v>
      </c>
      <c r="D44" s="97"/>
      <c r="E44" s="97"/>
      <c r="F44" s="97"/>
      <c r="G44" s="97" t="s">
        <v>105</v>
      </c>
      <c r="H44" s="97"/>
      <c r="I44" s="51"/>
      <c r="J44" s="90" t="s">
        <v>106</v>
      </c>
      <c r="K44" s="90"/>
      <c r="L44" s="90"/>
      <c r="M44" s="90"/>
      <c r="N44" s="97" t="s">
        <v>107</v>
      </c>
      <c r="O44" s="97"/>
      <c r="P44" s="97" t="s">
        <v>108</v>
      </c>
      <c r="Q44" s="97"/>
      <c r="R44" s="98"/>
      <c r="S44" s="98"/>
      <c r="T44" s="98"/>
      <c r="U44" s="98"/>
      <c r="V44" s="97" t="s">
        <v>107</v>
      </c>
      <c r="W44" s="97"/>
      <c r="X44" s="97" t="s">
        <v>108</v>
      </c>
      <c r="Y44" s="97"/>
      <c r="Z44" s="97" t="s">
        <v>109</v>
      </c>
      <c r="AA44" s="97"/>
      <c r="AB44" s="91" t="s">
        <v>110</v>
      </c>
      <c r="AC44" s="91"/>
    </row>
    <row r="45" spans="1:29" ht="18" customHeight="1" x14ac:dyDescent="0.2">
      <c r="A45" s="53" t="s">
        <v>111</v>
      </c>
      <c r="B45" s="4" t="s">
        <v>57</v>
      </c>
      <c r="C45" s="4">
        <f>C46+C47+C53</f>
        <v>79700</v>
      </c>
      <c r="D45" s="97"/>
      <c r="E45" s="97"/>
      <c r="F45" s="97"/>
      <c r="G45" s="4" t="s">
        <v>112</v>
      </c>
      <c r="H45" s="4" t="s">
        <v>113</v>
      </c>
      <c r="I45" s="51"/>
      <c r="J45" s="90" t="s">
        <v>114</v>
      </c>
      <c r="K45" s="90"/>
      <c r="L45" s="90"/>
      <c r="M45" s="90"/>
      <c r="N45" s="91">
        <v>62234.98</v>
      </c>
      <c r="O45" s="91"/>
      <c r="P45" s="91">
        <f>T41</f>
        <v>230462.55386138611</v>
      </c>
      <c r="Q45" s="91"/>
      <c r="R45" s="90" t="s">
        <v>115</v>
      </c>
      <c r="S45" s="90"/>
      <c r="T45" s="90"/>
      <c r="U45" s="90"/>
      <c r="V45" s="91">
        <f>N45+N51+N52+N53</f>
        <v>340885.50968475488</v>
      </c>
      <c r="W45" s="91"/>
      <c r="X45" s="91">
        <f>P45+P51+P52+P53</f>
        <v>1861337.6979813138</v>
      </c>
      <c r="Y45" s="91"/>
      <c r="Z45" s="97"/>
      <c r="AA45" s="97"/>
      <c r="AB45" s="91"/>
      <c r="AC45" s="91"/>
    </row>
    <row r="46" spans="1:29" ht="17.25" customHeight="1" x14ac:dyDescent="0.2">
      <c r="A46" s="53" t="s">
        <v>116</v>
      </c>
      <c r="B46" s="4">
        <v>600</v>
      </c>
      <c r="C46" s="4">
        <v>6000</v>
      </c>
      <c r="D46" s="90" t="s">
        <v>117</v>
      </c>
      <c r="E46" s="90"/>
      <c r="F46" s="90"/>
      <c r="G46" s="55">
        <v>303</v>
      </c>
      <c r="H46" s="54">
        <v>9938.4</v>
      </c>
      <c r="I46" s="6"/>
      <c r="J46" s="90" t="s">
        <v>118</v>
      </c>
      <c r="K46" s="90"/>
      <c r="L46" s="90"/>
      <c r="M46" s="90"/>
      <c r="N46" s="91">
        <f>N45*1</f>
        <v>62234.98</v>
      </c>
      <c r="O46" s="91"/>
      <c r="P46" s="91">
        <f>P45*1</f>
        <v>230462.55386138611</v>
      </c>
      <c r="Q46" s="91"/>
      <c r="R46" s="90" t="s">
        <v>119</v>
      </c>
      <c r="S46" s="90"/>
      <c r="T46" s="90"/>
      <c r="U46" s="90"/>
      <c r="V46" s="91">
        <f>V45*0.321</f>
        <v>109424.24860880632</v>
      </c>
      <c r="W46" s="91"/>
      <c r="X46" s="91">
        <f>X45*0.321</f>
        <v>597489.40105200175</v>
      </c>
      <c r="Y46" s="91"/>
      <c r="Z46" s="106">
        <f>(V51-AB46)/AB3</f>
        <v>103.03655654638014</v>
      </c>
      <c r="AA46" s="106"/>
      <c r="AB46" s="91">
        <f>Y38+S38+E38+H46+H49</f>
        <v>21457.965976761076</v>
      </c>
      <c r="AC46" s="91"/>
    </row>
    <row r="47" spans="1:29" ht="13.5" customHeight="1" x14ac:dyDescent="0.2">
      <c r="A47" s="53" t="s">
        <v>120</v>
      </c>
      <c r="B47" s="4">
        <v>4</v>
      </c>
      <c r="C47" s="4">
        <v>11200</v>
      </c>
      <c r="D47" s="90" t="s">
        <v>121</v>
      </c>
      <c r="E47" s="90"/>
      <c r="F47" s="90"/>
      <c r="G47" s="56">
        <v>303</v>
      </c>
      <c r="H47" s="54"/>
      <c r="I47" s="51"/>
      <c r="J47" s="90" t="s">
        <v>122</v>
      </c>
      <c r="K47" s="90"/>
      <c r="L47" s="90"/>
      <c r="M47" s="90"/>
      <c r="N47" s="91">
        <v>1028.1199999999999</v>
      </c>
      <c r="O47" s="91"/>
      <c r="P47" s="91">
        <v>296108.69</v>
      </c>
      <c r="Q47" s="91"/>
      <c r="R47" s="90" t="s">
        <v>123</v>
      </c>
      <c r="S47" s="90"/>
      <c r="T47" s="90"/>
      <c r="U47" s="90"/>
      <c r="V47" s="91">
        <v>450279.75</v>
      </c>
      <c r="W47" s="91"/>
      <c r="X47" s="91">
        <f>X45+X46</f>
        <v>2458827.0990333157</v>
      </c>
      <c r="Y47" s="91"/>
      <c r="Z47" s="106"/>
      <c r="AA47" s="106"/>
      <c r="AB47" s="91"/>
      <c r="AC47" s="91"/>
    </row>
    <row r="48" spans="1:29" ht="21.75" customHeight="1" x14ac:dyDescent="0.2">
      <c r="A48" s="53" t="s">
        <v>124</v>
      </c>
      <c r="B48" s="4">
        <v>12.6</v>
      </c>
      <c r="C48" s="4">
        <v>16000</v>
      </c>
      <c r="D48" s="90" t="s">
        <v>125</v>
      </c>
      <c r="E48" s="90"/>
      <c r="F48" s="90"/>
      <c r="G48" s="56">
        <v>0</v>
      </c>
      <c r="H48" s="54"/>
      <c r="I48" s="52"/>
      <c r="J48" s="90" t="s">
        <v>126</v>
      </c>
      <c r="K48" s="90"/>
      <c r="L48" s="90"/>
      <c r="M48" s="90"/>
      <c r="N48" s="91">
        <f>S41-100*0.6</f>
        <v>35125.596586102729</v>
      </c>
      <c r="O48" s="91"/>
      <c r="P48" s="91">
        <f>P45-100*0.6</f>
        <v>230402.55386138611</v>
      </c>
      <c r="Q48" s="91"/>
      <c r="R48" s="90" t="s">
        <v>127</v>
      </c>
      <c r="S48" s="90"/>
      <c r="T48" s="90"/>
      <c r="U48" s="90"/>
      <c r="V48" s="91">
        <f>Y41+V47+X47+H46+H49+C45+C52</f>
        <v>3341032.2019744921</v>
      </c>
      <c r="W48" s="91"/>
      <c r="X48" s="91"/>
      <c r="Y48" s="91"/>
      <c r="Z48" s="3"/>
      <c r="AA48" s="3"/>
      <c r="AB48" s="3"/>
      <c r="AC48" s="3"/>
    </row>
    <row r="49" spans="1:29" ht="12.75" customHeight="1" x14ac:dyDescent="0.2">
      <c r="A49" s="53" t="s">
        <v>128</v>
      </c>
      <c r="B49" s="4" t="s">
        <v>57</v>
      </c>
      <c r="C49" s="4" t="s">
        <v>57</v>
      </c>
      <c r="D49" s="90" t="s">
        <v>129</v>
      </c>
      <c r="E49" s="90"/>
      <c r="F49" s="90"/>
      <c r="G49" s="56">
        <v>310</v>
      </c>
      <c r="H49" s="54">
        <v>10168</v>
      </c>
      <c r="I49" s="52"/>
      <c r="J49" s="90" t="s">
        <v>130</v>
      </c>
      <c r="K49" s="90"/>
      <c r="L49" s="90"/>
      <c r="M49" s="90"/>
      <c r="N49" s="91">
        <f>N45*0.15</f>
        <v>9335.2469999999994</v>
      </c>
      <c r="O49" s="91"/>
      <c r="P49" s="91">
        <v>18013.8</v>
      </c>
      <c r="Q49" s="91"/>
      <c r="R49" s="90" t="s">
        <v>131</v>
      </c>
      <c r="S49" s="90"/>
      <c r="T49" s="90"/>
      <c r="U49" s="90"/>
      <c r="V49" s="91">
        <f>(V48-C52)*0.15</f>
        <v>454654.83029617381</v>
      </c>
      <c r="W49" s="91"/>
      <c r="X49" s="91"/>
      <c r="Y49" s="91"/>
      <c r="Z49" s="3"/>
      <c r="AA49" s="3"/>
      <c r="AB49" s="3"/>
      <c r="AC49" s="3"/>
    </row>
    <row r="50" spans="1:29" ht="20.25" customHeight="1" x14ac:dyDescent="0.2">
      <c r="A50" s="53" t="s">
        <v>132</v>
      </c>
      <c r="B50" s="4">
        <v>88</v>
      </c>
      <c r="C50" s="4">
        <v>23481.88</v>
      </c>
      <c r="D50" s="90" t="s">
        <v>121</v>
      </c>
      <c r="E50" s="90"/>
      <c r="F50" s="90"/>
      <c r="G50" s="4">
        <v>310</v>
      </c>
      <c r="H50" s="54"/>
      <c r="I50" s="52"/>
      <c r="J50" s="90" t="s">
        <v>133</v>
      </c>
      <c r="K50" s="90"/>
      <c r="L50" s="90"/>
      <c r="M50" s="90"/>
      <c r="N50" s="91">
        <f>S41*0.833</f>
        <v>29309.601956223571</v>
      </c>
      <c r="O50" s="91"/>
      <c r="P50" s="91">
        <f>T41*0.833</f>
        <v>191975.30736653463</v>
      </c>
      <c r="Q50" s="91"/>
      <c r="R50" s="90" t="s">
        <v>134</v>
      </c>
      <c r="S50" s="90"/>
      <c r="T50" s="90"/>
      <c r="U50" s="90"/>
      <c r="V50" s="92">
        <f>V48+V49</f>
        <v>3795687.0322706657</v>
      </c>
      <c r="W50" s="92"/>
      <c r="X50" s="92"/>
      <c r="Y50" s="92"/>
      <c r="Z50" s="3"/>
      <c r="AA50" s="3"/>
      <c r="AB50" s="3"/>
      <c r="AC50" s="3"/>
    </row>
    <row r="51" spans="1:29" ht="12.75" customHeight="1" x14ac:dyDescent="0.2">
      <c r="A51" s="53" t="s">
        <v>135</v>
      </c>
      <c r="B51" s="4">
        <v>4.0000000000000001E-3</v>
      </c>
      <c r="C51" s="4">
        <v>4110.3999999999996</v>
      </c>
      <c r="D51" s="93"/>
      <c r="E51" s="93"/>
      <c r="F51" s="93"/>
      <c r="G51" s="52"/>
      <c r="H51" s="49"/>
      <c r="I51" s="52"/>
      <c r="J51" s="94" t="s">
        <v>136</v>
      </c>
      <c r="K51" s="94"/>
      <c r="L51" s="94"/>
      <c r="M51" s="94"/>
      <c r="N51" s="91">
        <f>SUM(N45:O50)</f>
        <v>199268.5255423263</v>
      </c>
      <c r="O51" s="91"/>
      <c r="P51" s="91">
        <f>SUM(P45:Q50)</f>
        <v>1197425.458950693</v>
      </c>
      <c r="Q51" s="91"/>
      <c r="R51" s="90" t="s">
        <v>137</v>
      </c>
      <c r="S51" s="90"/>
      <c r="T51" s="90"/>
      <c r="U51" s="90"/>
      <c r="V51" s="91">
        <f>V50/U3</f>
        <v>3795687.0322706657</v>
      </c>
      <c r="W51" s="91"/>
      <c r="X51" s="91"/>
      <c r="Y51" s="91"/>
      <c r="Z51" s="3"/>
      <c r="AA51" s="3"/>
      <c r="AB51" s="3"/>
      <c r="AC51" s="3"/>
    </row>
    <row r="52" spans="1:29" ht="22.5" customHeight="1" x14ac:dyDescent="0.2">
      <c r="A52" s="53" t="s">
        <v>138</v>
      </c>
      <c r="B52" s="4">
        <v>15.54</v>
      </c>
      <c r="C52" s="4">
        <v>310000</v>
      </c>
      <c r="D52" s="52"/>
      <c r="E52" s="49"/>
      <c r="F52" s="50"/>
      <c r="G52" s="52"/>
      <c r="H52" s="52"/>
      <c r="I52" s="52"/>
      <c r="J52" s="90" t="s">
        <v>139</v>
      </c>
      <c r="K52" s="90"/>
      <c r="L52" s="90"/>
      <c r="M52" s="90"/>
      <c r="N52" s="91">
        <f>(N45+N51)*0.0863</f>
        <v>22567.752528302761</v>
      </c>
      <c r="O52" s="91"/>
      <c r="P52" s="91">
        <f>(P45+P51)*0.0863</f>
        <v>123226.73550568243</v>
      </c>
      <c r="Q52" s="91"/>
      <c r="R52" s="90" t="s">
        <v>140</v>
      </c>
      <c r="S52" s="90"/>
      <c r="T52" s="90"/>
      <c r="U52" s="90"/>
      <c r="V52" s="91">
        <f>V51/AB3</f>
        <v>103.62235960334878</v>
      </c>
      <c r="W52" s="91"/>
      <c r="X52" s="91"/>
      <c r="Y52" s="91"/>
      <c r="Z52" s="3"/>
      <c r="AA52" s="3"/>
      <c r="AB52" s="3"/>
      <c r="AC52" s="3"/>
    </row>
    <row r="53" spans="1:29" ht="12.75" customHeight="1" x14ac:dyDescent="0.2">
      <c r="A53" s="53" t="s">
        <v>141</v>
      </c>
      <c r="B53" s="4">
        <v>625</v>
      </c>
      <c r="C53" s="4">
        <v>62500</v>
      </c>
      <c r="D53" s="59"/>
      <c r="E53" s="60"/>
      <c r="F53" s="11"/>
      <c r="G53" s="52"/>
      <c r="H53" s="52"/>
      <c r="I53" s="52"/>
      <c r="J53" s="90" t="s">
        <v>142</v>
      </c>
      <c r="K53" s="90"/>
      <c r="L53" s="90"/>
      <c r="M53" s="90"/>
      <c r="N53" s="91">
        <f>(N45+N51+N52)*0.2</f>
        <v>56814.251614125824</v>
      </c>
      <c r="O53" s="91"/>
      <c r="P53" s="91">
        <f>(P45+P51+P52)*0.2</f>
        <v>310222.94966355234</v>
      </c>
      <c r="Q53" s="91"/>
      <c r="R53" s="52"/>
      <c r="S53" s="49"/>
      <c r="T53" s="49"/>
      <c r="U53" s="52"/>
      <c r="V53" s="52"/>
      <c r="W53" s="52"/>
      <c r="X53" s="49"/>
      <c r="Y53" s="49"/>
      <c r="Z53" s="49"/>
      <c r="AA53" s="49"/>
      <c r="AB53" s="52"/>
      <c r="AC53" s="49"/>
    </row>
    <row r="54" spans="1:29" x14ac:dyDescent="0.2">
      <c r="A54" s="61"/>
      <c r="B54" s="11"/>
      <c r="C54" s="62"/>
      <c r="D54" s="51"/>
      <c r="E54" s="11"/>
      <c r="F54" s="11"/>
      <c r="G54" s="52"/>
      <c r="H54" s="52"/>
      <c r="I54" s="52"/>
      <c r="J54" s="52"/>
      <c r="K54" s="52"/>
      <c r="L54" s="52"/>
      <c r="M54" s="52"/>
      <c r="N54" s="49"/>
      <c r="O54" s="49"/>
      <c r="P54" s="49"/>
      <c r="Q54" s="52"/>
      <c r="R54" s="49"/>
      <c r="S54" s="49"/>
      <c r="T54" s="49"/>
      <c r="U54" s="52"/>
      <c r="V54" s="52"/>
      <c r="W54" s="52"/>
      <c r="X54" s="49"/>
      <c r="Y54" s="49"/>
      <c r="Z54" s="52"/>
      <c r="AA54" s="52"/>
      <c r="AB54" s="52"/>
      <c r="AC54" s="49"/>
    </row>
    <row r="55" spans="1:29" x14ac:dyDescent="0.2">
      <c r="AA55" s="66" t="s">
        <v>143</v>
      </c>
      <c r="AB55" s="66">
        <v>4642</v>
      </c>
    </row>
  </sheetData>
  <mergeCells count="134">
    <mergeCell ref="R1:T1"/>
    <mergeCell ref="U1:W1"/>
    <mergeCell ref="X1:Y2"/>
    <mergeCell ref="Z1:AA2"/>
    <mergeCell ref="AB1:AC2"/>
    <mergeCell ref="B2:B3"/>
    <mergeCell ref="G2:P3"/>
    <mergeCell ref="R2:T2"/>
    <mergeCell ref="U2:W2"/>
    <mergeCell ref="A3:A4"/>
    <mergeCell ref="R3:T3"/>
    <mergeCell ref="U3:V3"/>
    <mergeCell ref="X3:Y3"/>
    <mergeCell ref="Z3:AA3"/>
    <mergeCell ref="AB3:AC3"/>
    <mergeCell ref="J4:N4"/>
    <mergeCell ref="R4:T4"/>
    <mergeCell ref="U4:W4"/>
    <mergeCell ref="X4:Y4"/>
    <mergeCell ref="Z4:AA4"/>
    <mergeCell ref="AB4:AC4"/>
    <mergeCell ref="R5:S5"/>
    <mergeCell ref="U5:V5"/>
    <mergeCell ref="A7:A13"/>
    <mergeCell ref="B7:E9"/>
    <mergeCell ref="F7:G9"/>
    <mergeCell ref="H7:J9"/>
    <mergeCell ref="K7:L9"/>
    <mergeCell ref="M7:M13"/>
    <mergeCell ref="N7:N13"/>
    <mergeCell ref="O7:P9"/>
    <mergeCell ref="Q7:R9"/>
    <mergeCell ref="S7:T9"/>
    <mergeCell ref="U7:U13"/>
    <mergeCell ref="V7:V13"/>
    <mergeCell ref="W7:Y9"/>
    <mergeCell ref="Z7:AA9"/>
    <mergeCell ref="AB7:AC9"/>
    <mergeCell ref="B10:B13"/>
    <mergeCell ref="C10:C13"/>
    <mergeCell ref="D10:D13"/>
    <mergeCell ref="E10:E13"/>
    <mergeCell ref="F10:F13"/>
    <mergeCell ref="G10:G13"/>
    <mergeCell ref="H10:H13"/>
    <mergeCell ref="I10:J10"/>
    <mergeCell ref="K10:K13"/>
    <mergeCell ref="L10:L13"/>
    <mergeCell ref="O10:O13"/>
    <mergeCell ref="P10:P13"/>
    <mergeCell ref="Q10:Q13"/>
    <mergeCell ref="R10:R13"/>
    <mergeCell ref="S10:S13"/>
    <mergeCell ref="T10:T13"/>
    <mergeCell ref="W10:X10"/>
    <mergeCell ref="Y10:Y13"/>
    <mergeCell ref="Z10:Z13"/>
    <mergeCell ref="AA10:AA13"/>
    <mergeCell ref="AB10:AB13"/>
    <mergeCell ref="AC10:AC13"/>
    <mergeCell ref="I11:I13"/>
    <mergeCell ref="J11:J13"/>
    <mergeCell ref="W11:W13"/>
    <mergeCell ref="X11:X13"/>
    <mergeCell ref="D44:F44"/>
    <mergeCell ref="G44:H44"/>
    <mergeCell ref="J44:M44"/>
    <mergeCell ref="N44:O44"/>
    <mergeCell ref="P44:Q44"/>
    <mergeCell ref="R44:U44"/>
    <mergeCell ref="V44:W44"/>
    <mergeCell ref="X44:Y44"/>
    <mergeCell ref="Z44:AA45"/>
    <mergeCell ref="AB44:AC45"/>
    <mergeCell ref="D45:F45"/>
    <mergeCell ref="J45:M45"/>
    <mergeCell ref="N45:O45"/>
    <mergeCell ref="P45:Q45"/>
    <mergeCell ref="R45:U45"/>
    <mergeCell ref="V45:W45"/>
    <mergeCell ref="X45:Y45"/>
    <mergeCell ref="D46:F46"/>
    <mergeCell ref="J46:M46"/>
    <mergeCell ref="N46:O46"/>
    <mergeCell ref="P46:Q46"/>
    <mergeCell ref="R46:U46"/>
    <mergeCell ref="V46:W46"/>
    <mergeCell ref="X46:Y46"/>
    <mergeCell ref="Z46:AA47"/>
    <mergeCell ref="AB46:AC47"/>
    <mergeCell ref="D47:F47"/>
    <mergeCell ref="J47:M47"/>
    <mergeCell ref="N47:O47"/>
    <mergeCell ref="P47:Q47"/>
    <mergeCell ref="R47:U47"/>
    <mergeCell ref="V47:W47"/>
    <mergeCell ref="X47:Y47"/>
    <mergeCell ref="D48:F48"/>
    <mergeCell ref="J48:M48"/>
    <mergeCell ref="N48:O48"/>
    <mergeCell ref="P48:Q48"/>
    <mergeCell ref="R48:U48"/>
    <mergeCell ref="V48:W48"/>
    <mergeCell ref="X48:Y48"/>
    <mergeCell ref="D49:F49"/>
    <mergeCell ref="J49:M49"/>
    <mergeCell ref="N49:O49"/>
    <mergeCell ref="P49:Q49"/>
    <mergeCell ref="R49:U49"/>
    <mergeCell ref="V49:W49"/>
    <mergeCell ref="X49:Y49"/>
    <mergeCell ref="D50:F50"/>
    <mergeCell ref="J50:M50"/>
    <mergeCell ref="N50:O50"/>
    <mergeCell ref="P50:Q50"/>
    <mergeCell ref="R50:U50"/>
    <mergeCell ref="V50:W50"/>
    <mergeCell ref="X50:Y50"/>
    <mergeCell ref="D51:F51"/>
    <mergeCell ref="J51:M51"/>
    <mergeCell ref="N51:O51"/>
    <mergeCell ref="P51:Q51"/>
    <mergeCell ref="R51:U51"/>
    <mergeCell ref="V51:W51"/>
    <mergeCell ref="X51:Y51"/>
    <mergeCell ref="J52:M52"/>
    <mergeCell ref="N52:O52"/>
    <mergeCell ref="P52:Q52"/>
    <mergeCell ref="R52:U52"/>
    <mergeCell ref="V52:W52"/>
    <mergeCell ref="X52:Y52"/>
    <mergeCell ref="J53:M53"/>
    <mergeCell ref="N53:O53"/>
    <mergeCell ref="P53:Q53"/>
  </mergeCells>
  <printOptions gridLines="1"/>
  <pageMargins left="0.75" right="0.75" top="1" bottom="1" header="0.51180555555555496" footer="0.51180555555555496"/>
  <pageSetup paperSize="9" firstPageNumber="0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zoomScaleNormal="100" workbookViewId="0">
      <selection activeCell="C5" sqref="C5"/>
    </sheetView>
  </sheetViews>
  <sheetFormatPr defaultRowHeight="12.75" x14ac:dyDescent="0.2"/>
  <cols>
    <col min="1" max="1" width="37.5703125" customWidth="1"/>
    <col min="2" max="2" width="13.28515625" customWidth="1"/>
    <col min="3" max="3" width="13.42578125" customWidth="1"/>
    <col min="4" max="1025" width="9" customWidth="1"/>
  </cols>
  <sheetData>
    <row r="1" spans="1:3" ht="12.75" customHeight="1" x14ac:dyDescent="0.2">
      <c r="A1" s="107" t="s">
        <v>151</v>
      </c>
      <c r="B1" s="107"/>
      <c r="C1" s="107"/>
    </row>
    <row r="2" spans="1:3" x14ac:dyDescent="0.2">
      <c r="A2" s="82" t="s">
        <v>152</v>
      </c>
      <c r="B2" s="82" t="s">
        <v>153</v>
      </c>
      <c r="C2" s="83" t="s">
        <v>154</v>
      </c>
    </row>
    <row r="3" spans="1:3" x14ac:dyDescent="0.2">
      <c r="A3" t="s">
        <v>155</v>
      </c>
      <c r="B3" s="83">
        <f>контроль!AB4</f>
        <v>36000</v>
      </c>
      <c r="C3" s="83">
        <f>опыт!AB3</f>
        <v>36630</v>
      </c>
    </row>
    <row r="4" spans="1:3" x14ac:dyDescent="0.2">
      <c r="A4" t="s">
        <v>156</v>
      </c>
      <c r="B4" s="84">
        <f>(контроль!O42+контроль!P42)*7/контроль!AB4</f>
        <v>8.0721688446096604E-2</v>
      </c>
      <c r="C4" s="84">
        <f>(опыт!O41+опыт!P41)*7/опыт!AB3</f>
        <v>9.0720993720993723E-2</v>
      </c>
    </row>
    <row r="5" spans="1:3" x14ac:dyDescent="0.2">
      <c r="A5" t="s">
        <v>157</v>
      </c>
      <c r="B5" s="84">
        <f>контроль!V51</f>
        <v>4049468.8180896705</v>
      </c>
      <c r="C5" s="84">
        <f>опыт!V51</f>
        <v>3795687.0322706657</v>
      </c>
    </row>
    <row r="6" spans="1:3" x14ac:dyDescent="0.2">
      <c r="A6" t="s">
        <v>158</v>
      </c>
      <c r="B6" s="84">
        <f>контроль!Z47</f>
        <v>111.88919033646971</v>
      </c>
      <c r="C6" s="84">
        <f>опыт!Z46</f>
        <v>103.03655654638014</v>
      </c>
    </row>
    <row r="7" spans="1:3" x14ac:dyDescent="0.2">
      <c r="A7" t="s">
        <v>159</v>
      </c>
      <c r="B7" s="84">
        <f>B6*1.05</f>
        <v>117.4836498532932</v>
      </c>
      <c r="C7" s="84">
        <f>C6*1.05</f>
        <v>108.18838437369915</v>
      </c>
    </row>
    <row r="8" spans="1:3" x14ac:dyDescent="0.2">
      <c r="A8" t="s">
        <v>160</v>
      </c>
      <c r="B8" s="83">
        <v>300</v>
      </c>
      <c r="C8" s="83">
        <v>300</v>
      </c>
    </row>
    <row r="9" spans="1:3" x14ac:dyDescent="0.2">
      <c r="A9" t="s">
        <v>161</v>
      </c>
      <c r="B9" s="84">
        <f>B8-B7</f>
        <v>182.5163501467068</v>
      </c>
      <c r="C9" s="84">
        <f>C8-C7</f>
        <v>191.81161562630086</v>
      </c>
    </row>
    <row r="10" spans="1:3" x14ac:dyDescent="0.2">
      <c r="A10" t="s">
        <v>162</v>
      </c>
      <c r="B10" s="84">
        <f>B9/B7*100</f>
        <v>155.35468158728699</v>
      </c>
      <c r="C10" s="84">
        <f>C9/C7*100</f>
        <v>177.29409375756489</v>
      </c>
    </row>
  </sheetData>
  <mergeCells count="1">
    <mergeCell ref="A1:C1"/>
  </mergeCells>
  <printOptions gridLines="1"/>
  <pageMargins left="0.7" right="0.7" top="0.75" bottom="0.75" header="0.51180555555555496" footer="0.51180555555555496"/>
  <pageSetup paperSize="9" firstPageNumber="0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zoomScaleNormal="100" workbookViewId="0">
      <selection activeCell="C3" sqref="C3:D13"/>
    </sheetView>
  </sheetViews>
  <sheetFormatPr defaultRowHeight="12.75" x14ac:dyDescent="0.2"/>
  <cols>
    <col min="1" max="1" width="9" customWidth="1"/>
    <col min="2" max="2" width="12.85546875" customWidth="1"/>
    <col min="3" max="3" width="12.42578125" customWidth="1"/>
    <col min="4" max="4" width="19.140625" customWidth="1"/>
    <col min="5" max="1025" width="9" customWidth="1"/>
  </cols>
  <sheetData>
    <row r="1" spans="1:4" ht="12.75" customHeight="1" x14ac:dyDescent="0.2">
      <c r="A1" s="107" t="s">
        <v>163</v>
      </c>
      <c r="B1" s="107"/>
      <c r="C1" s="107"/>
      <c r="D1" s="107"/>
    </row>
    <row r="2" spans="1:4" ht="12.75" customHeight="1" x14ac:dyDescent="0.2">
      <c r="A2" s="107" t="s">
        <v>164</v>
      </c>
      <c r="B2" s="107"/>
      <c r="C2" s="83" t="s">
        <v>165</v>
      </c>
      <c r="D2" s="83" t="s">
        <v>166</v>
      </c>
    </row>
    <row r="3" spans="1:4" ht="29.25" customHeight="1" x14ac:dyDescent="0.2">
      <c r="A3" s="109" t="s">
        <v>167</v>
      </c>
      <c r="B3" s="109"/>
      <c r="C3" s="84">
        <f>(контроль!V48+контроль!X48)/контроль!AB4</f>
        <v>87.05950247314766</v>
      </c>
      <c r="D3" s="84">
        <f>C3/C13*100</f>
        <v>77.39637542169892</v>
      </c>
    </row>
    <row r="4" spans="1:4" ht="12.75" customHeight="1" x14ac:dyDescent="0.2">
      <c r="A4" s="112" t="s">
        <v>28</v>
      </c>
      <c r="B4" s="112"/>
      <c r="C4" s="84">
        <f>контроль!Y42/контроль!AB4</f>
        <v>0.49343129713423817</v>
      </c>
      <c r="D4" s="84">
        <f>C4/C13*100</f>
        <v>0.43866313076618491</v>
      </c>
    </row>
    <row r="5" spans="1:4" ht="12.75" customHeight="1" x14ac:dyDescent="0.2">
      <c r="A5" s="108" t="s">
        <v>30</v>
      </c>
      <c r="B5" s="108"/>
      <c r="C5" s="84">
        <v>0</v>
      </c>
      <c r="D5" s="84">
        <f>C5/C13*100</f>
        <v>0</v>
      </c>
    </row>
    <row r="6" spans="1:4" ht="12.75" customHeight="1" x14ac:dyDescent="0.2">
      <c r="A6" s="110" t="s">
        <v>168</v>
      </c>
      <c r="B6" s="110"/>
      <c r="C6" s="84">
        <v>0</v>
      </c>
      <c r="D6" s="84">
        <f>C6/C13*100</f>
        <v>0</v>
      </c>
    </row>
    <row r="7" spans="1:4" ht="12" customHeight="1" x14ac:dyDescent="0.2">
      <c r="A7" s="108" t="s">
        <v>169</v>
      </c>
      <c r="B7" s="108"/>
      <c r="C7" s="84">
        <f>контроль!C53/контроль!AB4</f>
        <v>8.6111111111111107</v>
      </c>
      <c r="D7" s="84">
        <f>C7/C13*100</f>
        <v>7.6553250296724578</v>
      </c>
    </row>
    <row r="8" spans="1:4" ht="27.75" customHeight="1" x14ac:dyDescent="0.2">
      <c r="A8" s="111" t="s">
        <v>170</v>
      </c>
      <c r="B8" s="111"/>
      <c r="C8" s="84">
        <f>контроль!C46/контроль!AB4</f>
        <v>2.213888888888889</v>
      </c>
      <c r="D8" s="84">
        <f>C8/C13*100</f>
        <v>1.9681593705319189</v>
      </c>
    </row>
    <row r="9" spans="1:4" ht="12.75" customHeight="1" x14ac:dyDescent="0.2">
      <c r="A9" s="108" t="s">
        <v>171</v>
      </c>
      <c r="B9" s="108"/>
      <c r="C9" s="84">
        <f>контроль!H47/контроль!AB4</f>
        <v>0.27606666666666668</v>
      </c>
      <c r="D9" s="84">
        <f>C9/C13*100</f>
        <v>0.24542478153192501</v>
      </c>
    </row>
    <row r="10" spans="1:4" ht="12.75" customHeight="1" x14ac:dyDescent="0.2">
      <c r="A10" s="108" t="s">
        <v>172</v>
      </c>
      <c r="B10" s="108"/>
      <c r="C10" s="84">
        <f>контроль!H50/контроль!AB4</f>
        <v>0.28244444444444444</v>
      </c>
      <c r="D10" s="84">
        <f>C10/C13*100</f>
        <v>0.25109466097325661</v>
      </c>
    </row>
    <row r="11" spans="1:4" ht="12.75" customHeight="1" x14ac:dyDescent="0.2">
      <c r="A11" s="108" t="s">
        <v>173</v>
      </c>
      <c r="B11" s="108"/>
      <c r="C11" s="84">
        <f>SUM(C3:C10)</f>
        <v>98.936444881393015</v>
      </c>
      <c r="D11" s="84">
        <f>C11/C13*100</f>
        <v>87.955042395174672</v>
      </c>
    </row>
    <row r="12" spans="1:4" ht="15" customHeight="1" x14ac:dyDescent="0.2">
      <c r="A12" s="108" t="s">
        <v>174</v>
      </c>
      <c r="B12" s="108"/>
      <c r="C12" s="84">
        <f>контроль!V50/контроль!AB4</f>
        <v>13.548800065542283</v>
      </c>
      <c r="D12" s="84">
        <f>C12/C13*100</f>
        <v>12.04495760482533</v>
      </c>
    </row>
    <row r="13" spans="1:4" ht="30" customHeight="1" x14ac:dyDescent="0.2">
      <c r="A13" s="109" t="s">
        <v>175</v>
      </c>
      <c r="B13" s="109"/>
      <c r="C13" s="84">
        <f>C11+C12</f>
        <v>112.4852449469353</v>
      </c>
      <c r="D13" s="83">
        <f>C13/C13*100</f>
        <v>100</v>
      </c>
    </row>
  </sheetData>
  <mergeCells count="13">
    <mergeCell ref="A1:D1"/>
    <mergeCell ref="A2:B2"/>
    <mergeCell ref="A3:B3"/>
    <mergeCell ref="A4:B4"/>
    <mergeCell ref="A5:B5"/>
    <mergeCell ref="A11:B11"/>
    <mergeCell ref="A12:B12"/>
    <mergeCell ref="A13:B13"/>
    <mergeCell ref="A6:B6"/>
    <mergeCell ref="A7:B7"/>
    <mergeCell ref="A8:B8"/>
    <mergeCell ref="A9:B9"/>
    <mergeCell ref="A10:B10"/>
  </mergeCells>
  <printOptions gridLines="1"/>
  <pageMargins left="0.7" right="0.7" top="0.75" bottom="0.75" header="0.51180555555555496" footer="0.51180555555555496"/>
  <pageSetup paperSize="9" firstPageNumber="0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zoomScaleNormal="100" workbookViewId="0">
      <selection activeCell="E4" sqref="E4"/>
    </sheetView>
  </sheetViews>
  <sheetFormatPr defaultRowHeight="12.75" x14ac:dyDescent="0.2"/>
  <cols>
    <col min="1" max="1" width="9" customWidth="1"/>
    <col min="2" max="2" width="15.7109375" customWidth="1"/>
    <col min="3" max="3" width="12.42578125" customWidth="1"/>
    <col min="4" max="4" width="15.7109375" customWidth="1"/>
    <col min="5" max="1025" width="9" customWidth="1"/>
  </cols>
  <sheetData>
    <row r="1" spans="1:4" ht="12.75" customHeight="1" x14ac:dyDescent="0.2">
      <c r="A1" s="113" t="s">
        <v>163</v>
      </c>
      <c r="B1" s="113"/>
      <c r="C1" s="113"/>
      <c r="D1" s="113"/>
    </row>
    <row r="2" spans="1:4" ht="12.75" customHeight="1" x14ac:dyDescent="0.2">
      <c r="A2" s="108" t="s">
        <v>176</v>
      </c>
      <c r="B2" s="108"/>
      <c r="C2" t="s">
        <v>165</v>
      </c>
      <c r="D2" t="s">
        <v>166</v>
      </c>
    </row>
    <row r="3" spans="1:4" ht="28.5" customHeight="1" x14ac:dyDescent="0.2">
      <c r="A3" s="111" t="s">
        <v>167</v>
      </c>
      <c r="B3" s="111"/>
      <c r="C3" s="84">
        <f>(опыт!V47+опыт!X47)/опыт!AB3</f>
        <v>79.418696397305908</v>
      </c>
      <c r="D3" s="84">
        <f>C3/C13*100</f>
        <v>76.642431904956666</v>
      </c>
    </row>
    <row r="4" spans="1:4" ht="12.75" customHeight="1" x14ac:dyDescent="0.2">
      <c r="A4" s="108" t="s">
        <v>28</v>
      </c>
      <c r="B4" s="108"/>
      <c r="C4" s="84">
        <f>опыт!Y41/опыт!AB3</f>
        <v>0.6038480191421367</v>
      </c>
      <c r="D4" s="84">
        <f>C4/C13*100</f>
        <v>0.58273911292271141</v>
      </c>
    </row>
    <row r="5" spans="1:4" ht="12.75" customHeight="1" x14ac:dyDescent="0.2">
      <c r="A5" s="108" t="s">
        <v>30</v>
      </c>
      <c r="B5" s="108"/>
      <c r="C5" s="84">
        <v>0</v>
      </c>
      <c r="D5" s="84">
        <f>C5/C13*100</f>
        <v>0</v>
      </c>
    </row>
    <row r="6" spans="1:4" ht="12.75" customHeight="1" x14ac:dyDescent="0.2">
      <c r="A6" s="108" t="s">
        <v>29</v>
      </c>
      <c r="B6" s="108"/>
      <c r="C6" s="84">
        <v>0</v>
      </c>
      <c r="D6" s="84">
        <f>C6/C13*100</f>
        <v>0</v>
      </c>
    </row>
    <row r="7" spans="1:4" ht="12.75" customHeight="1" x14ac:dyDescent="0.2">
      <c r="A7" s="108" t="s">
        <v>169</v>
      </c>
      <c r="B7" s="108"/>
      <c r="C7" s="84">
        <f>опыт!C52/опыт!AB3</f>
        <v>8.4630084630084639</v>
      </c>
      <c r="D7" s="84">
        <f>C7/C13*100</f>
        <v>8.1671643990772083</v>
      </c>
    </row>
    <row r="8" spans="1:4" ht="25.5" customHeight="1" x14ac:dyDescent="0.2">
      <c r="A8" s="109" t="s">
        <v>177</v>
      </c>
      <c r="B8" s="109"/>
      <c r="C8" s="84">
        <f>опыт!C45/опыт!AB3</f>
        <v>2.175812175812176</v>
      </c>
      <c r="D8" s="84">
        <f>C8/C13*100</f>
        <v>2.0997516213111402</v>
      </c>
    </row>
    <row r="9" spans="1:4" ht="12.75" customHeight="1" x14ac:dyDescent="0.2">
      <c r="A9" s="108" t="s">
        <v>171</v>
      </c>
      <c r="B9" s="108"/>
      <c r="C9" s="84">
        <f>опыт!H46/опыт!AB3</f>
        <v>0.27131859131859132</v>
      </c>
      <c r="D9" s="84">
        <f>C9/C13*100</f>
        <v>0.26183402149609331</v>
      </c>
    </row>
    <row r="10" spans="1:4" ht="12.75" customHeight="1" x14ac:dyDescent="0.2">
      <c r="A10" s="108" t="s">
        <v>178</v>
      </c>
      <c r="B10" s="108"/>
      <c r="C10" s="84">
        <f>опыт!H49/опыт!AB3</f>
        <v>0.2775866775866776</v>
      </c>
      <c r="D10" s="84">
        <f>C10/C13*100</f>
        <v>0.26788299228973245</v>
      </c>
    </row>
    <row r="11" spans="1:4" ht="12.75" customHeight="1" x14ac:dyDescent="0.2">
      <c r="A11" s="108" t="s">
        <v>173</v>
      </c>
      <c r="B11" s="108"/>
      <c r="C11" s="84">
        <f>SUM(C3:C10)</f>
        <v>91.210270324173948</v>
      </c>
      <c r="D11" s="84">
        <f>C11/C13*100</f>
        <v>88.021804052053554</v>
      </c>
    </row>
    <row r="12" spans="1:4" ht="12.75" customHeight="1" x14ac:dyDescent="0.2">
      <c r="A12" s="108" t="s">
        <v>174</v>
      </c>
      <c r="B12" s="108"/>
      <c r="C12" s="84">
        <f>опыт!V49/опыт!AB3</f>
        <v>12.412089279174824</v>
      </c>
      <c r="D12" s="84">
        <f>C12/C13*100</f>
        <v>11.978195947946451</v>
      </c>
    </row>
    <row r="13" spans="1:4" ht="27" customHeight="1" x14ac:dyDescent="0.2">
      <c r="A13" s="109" t="s">
        <v>175</v>
      </c>
      <c r="B13" s="109"/>
      <c r="C13" s="84">
        <f>C11+C12</f>
        <v>103.62235960334877</v>
      </c>
      <c r="D13" s="83">
        <f>C13/C13*100</f>
        <v>100</v>
      </c>
    </row>
  </sheetData>
  <mergeCells count="13">
    <mergeCell ref="A1:D1"/>
    <mergeCell ref="A2:B2"/>
    <mergeCell ref="A3:B3"/>
    <mergeCell ref="A4:B4"/>
    <mergeCell ref="A5:B5"/>
    <mergeCell ref="A11:B11"/>
    <mergeCell ref="A12:B12"/>
    <mergeCell ref="A13:B13"/>
    <mergeCell ref="A6:B6"/>
    <mergeCell ref="A7:B7"/>
    <mergeCell ref="A8:B8"/>
    <mergeCell ref="A9:B9"/>
    <mergeCell ref="A10:B10"/>
  </mergeCells>
  <printOptions gridLines="1"/>
  <pageMargins left="0.7" right="0.7" top="0.75" bottom="0.75" header="0.51180555555555496" footer="0.51180555555555496"/>
  <pageSetup paperSize="9" firstPageNumber="0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8"/>
  <sheetViews>
    <sheetView tabSelected="1" zoomScaleNormal="100" workbookViewId="0">
      <selection activeCell="B8" sqref="B8"/>
    </sheetView>
  </sheetViews>
  <sheetFormatPr defaultRowHeight="12.75" x14ac:dyDescent="0.2"/>
  <cols>
    <col min="1" max="1025" width="9" customWidth="1"/>
  </cols>
  <sheetData>
    <row r="2" spans="2:2" x14ac:dyDescent="0.2">
      <c r="B2">
        <v>64376.84</v>
      </c>
    </row>
    <row r="3" spans="2:2" x14ac:dyDescent="0.2">
      <c r="B3">
        <v>40500</v>
      </c>
    </row>
    <row r="4" spans="2:2" x14ac:dyDescent="0.2">
      <c r="B4">
        <v>1200.3</v>
      </c>
    </row>
    <row r="5" spans="2:2" x14ac:dyDescent="0.2">
      <c r="B5">
        <v>1242.45</v>
      </c>
    </row>
    <row r="6" spans="2:2" x14ac:dyDescent="0.2">
      <c r="B6">
        <v>1214.4000000000001</v>
      </c>
    </row>
    <row r="7" spans="2:2" x14ac:dyDescent="0.2">
      <c r="B7">
        <v>502.5</v>
      </c>
    </row>
    <row r="8" spans="2:2" x14ac:dyDescent="0.2">
      <c r="B8">
        <v>16355.47</v>
      </c>
    </row>
  </sheetData>
  <printOptions gridLines="1"/>
  <pageMargins left="0.75" right="0.75" top="1" bottom="1" header="0.51180555555555496" footer="0.51180555555555496"/>
  <pageSetup paperSize="9"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контроль</vt:lpstr>
      <vt:lpstr>опыт</vt:lpstr>
      <vt:lpstr>оценка</vt:lpstr>
      <vt:lpstr>структ.контроль</vt:lpstr>
      <vt:lpstr>структ.опыт</vt:lpstr>
      <vt:lpstr>Лист2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RZ</dc:creator>
  <cp:keywords/>
  <dc:description/>
  <cp:lastModifiedBy>User</cp:lastModifiedBy>
  <cp:revision>1</cp:revision>
  <dcterms:created xsi:type="dcterms:W3CDTF">2005-05-27T20:56:53Z</dcterms:created>
  <dcterms:modified xsi:type="dcterms:W3CDTF">2020-07-07T17:14:51Z</dcterms:modified>
  <cp:category/>
  <cp:contentStatus/>
</cp:coreProperties>
</file>