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 activeTab="3"/>
  </bookViews>
  <sheets>
    <sheet name="Исходные данные" sheetId="15" r:id="rId1"/>
    <sheet name="Исходный вариант 1" sheetId="1" r:id="rId2"/>
    <sheet name="Расчеты" sheetId="2" r:id="rId3"/>
    <sheet name="Матрица" sheetId="8" r:id="rId4"/>
    <sheet name="Анализ данных" sheetId="7" r:id="rId5"/>
  </sheets>
  <definedNames>
    <definedName name="solver_adj" localSheetId="3" hidden="1">Матрица!$C$6:$Y$6</definedName>
    <definedName name="solver_cvg" localSheetId="3" hidden="1">0.0001</definedName>
    <definedName name="solver_drv" localSheetId="3" hidden="1">1</definedName>
    <definedName name="solver_eng" localSheetId="3" hidden="1">2</definedName>
    <definedName name="solver_est" localSheetId="3" hidden="1">1</definedName>
    <definedName name="solver_itr" localSheetId="3" hidden="1">100</definedName>
    <definedName name="solver_lhs1" localSheetId="3" hidden="1">Матрица!$Z$10</definedName>
    <definedName name="solver_lhs10" localSheetId="3" hidden="1">Матрица!$Z$19</definedName>
    <definedName name="solver_lhs11" localSheetId="3" hidden="1">Матрица!$Z$20</definedName>
    <definedName name="solver_lhs12" localSheetId="3" hidden="1">Матрица!$Z$21</definedName>
    <definedName name="solver_lhs13" localSheetId="3" hidden="1">Матрица!$Z$22</definedName>
    <definedName name="solver_lhs14" localSheetId="3" hidden="1">Матрица!$Z$23</definedName>
    <definedName name="solver_lhs15" localSheetId="3" hidden="1">Матрица!$Z$24</definedName>
    <definedName name="solver_lhs16" localSheetId="3" hidden="1">Матрица!$Z$25</definedName>
    <definedName name="solver_lhs17" localSheetId="3" hidden="1">Матрица!$Z$26</definedName>
    <definedName name="solver_lhs18" localSheetId="3" hidden="1">Матрица!$Z$27</definedName>
    <definedName name="solver_lhs19" localSheetId="3" hidden="1">Матрица!$Z$28</definedName>
    <definedName name="solver_lhs2" localSheetId="3" hidden="1">Матрица!$Z$11</definedName>
    <definedName name="solver_lhs20" localSheetId="3" hidden="1">Матрица!$Z$29</definedName>
    <definedName name="solver_lhs21" localSheetId="3" hidden="1">Матрица!$Z$30</definedName>
    <definedName name="solver_lhs22" localSheetId="3" hidden="1">Матрица!$Z$31</definedName>
    <definedName name="solver_lhs23" localSheetId="3" hidden="1">Матрица!$Z$32</definedName>
    <definedName name="solver_lhs24" localSheetId="3" hidden="1">Матрица!$Z$33</definedName>
    <definedName name="solver_lhs25" localSheetId="3" hidden="1">Матрица!$Z$34</definedName>
    <definedName name="solver_lhs26" localSheetId="3" hidden="1">Матрица!$Z$35</definedName>
    <definedName name="solver_lhs27" localSheetId="3" hidden="1">Матрица!$Z$36</definedName>
    <definedName name="solver_lhs28" localSheetId="3" hidden="1">Матрица!$Z$37</definedName>
    <definedName name="solver_lhs29" localSheetId="3" hidden="1">Матрица!$Z$38</definedName>
    <definedName name="solver_lhs3" localSheetId="3" hidden="1">Матрица!$Z$12</definedName>
    <definedName name="solver_lhs30" localSheetId="3" hidden="1">Матрица!$Z$39</definedName>
    <definedName name="solver_lhs31" localSheetId="3" hidden="1">Матрица!$Z$40</definedName>
    <definedName name="solver_lhs32" localSheetId="3" hidden="1">Матрица!$Z$7</definedName>
    <definedName name="solver_lhs33" localSheetId="3" hidden="1">Матрица!$Z$8</definedName>
    <definedName name="solver_lhs34" localSheetId="3" hidden="1">Матрица!$Z$9</definedName>
    <definedName name="solver_lhs4" localSheetId="3" hidden="1">Матрица!$Z$13</definedName>
    <definedName name="solver_lhs5" localSheetId="3" hidden="1">Матрица!$Z$14</definedName>
    <definedName name="solver_lhs6" localSheetId="3" hidden="1">Матрица!$Z$15</definedName>
    <definedName name="solver_lhs7" localSheetId="3" hidden="1">Матрица!$Z$16</definedName>
    <definedName name="solver_lhs8" localSheetId="3" hidden="1">Матрица!$Z$17</definedName>
    <definedName name="solver_lhs9" localSheetId="3" hidden="1">Матрица!$Z$18</definedName>
    <definedName name="solver_lin" localSheetId="3" hidden="1">2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1</definedName>
    <definedName name="solver_nod" localSheetId="3" hidden="1">2147483647</definedName>
    <definedName name="solver_num" localSheetId="3" hidden="1">34</definedName>
    <definedName name="solver_nwt" localSheetId="3" hidden="1">1</definedName>
    <definedName name="solver_opt" localSheetId="3" hidden="1">Матрица!$Z$41</definedName>
    <definedName name="solver_pre" localSheetId="3" hidden="1">0.000001</definedName>
    <definedName name="solver_rbv" localSheetId="3" hidden="1">2</definedName>
    <definedName name="solver_rel1" localSheetId="3" hidden="1">1</definedName>
    <definedName name="solver_rel10" localSheetId="3" hidden="1">3</definedName>
    <definedName name="solver_rel11" localSheetId="3" hidden="1">3</definedName>
    <definedName name="solver_rel12" localSheetId="3" hidden="1">1</definedName>
    <definedName name="solver_rel13" localSheetId="3" hidden="1">3</definedName>
    <definedName name="solver_rel14" localSheetId="3" hidden="1">1</definedName>
    <definedName name="solver_rel15" localSheetId="3" hidden="1">3</definedName>
    <definedName name="solver_rel16" localSheetId="3" hidden="1">1</definedName>
    <definedName name="solver_rel17" localSheetId="3" hidden="1">3</definedName>
    <definedName name="solver_rel18" localSheetId="3" hidden="1">1</definedName>
    <definedName name="solver_rel19" localSheetId="3" hidden="1">3</definedName>
    <definedName name="solver_rel2" localSheetId="3" hidden="1">1</definedName>
    <definedName name="solver_rel20" localSheetId="3" hidden="1">1</definedName>
    <definedName name="solver_rel21" localSheetId="3" hidden="1">3</definedName>
    <definedName name="solver_rel22" localSheetId="3" hidden="1">1</definedName>
    <definedName name="solver_rel23" localSheetId="3" hidden="1">3</definedName>
    <definedName name="solver_rel24" localSheetId="3" hidden="1">1</definedName>
    <definedName name="solver_rel25" localSheetId="3" hidden="1">1</definedName>
    <definedName name="solver_rel26" localSheetId="3" hidden="1">1</definedName>
    <definedName name="solver_rel27" localSheetId="3" hidden="1">1</definedName>
    <definedName name="solver_rel28" localSheetId="3" hidden="1">3</definedName>
    <definedName name="solver_rel29" localSheetId="3" hidden="1">1</definedName>
    <definedName name="solver_rel3" localSheetId="3" hidden="1">1</definedName>
    <definedName name="solver_rel30" localSheetId="3" hidden="1">3</definedName>
    <definedName name="solver_rel31" localSheetId="3" hidden="1">1</definedName>
    <definedName name="solver_rel32" localSheetId="3" hidden="1">1</definedName>
    <definedName name="solver_rel33" localSheetId="3" hidden="1">1</definedName>
    <definedName name="solver_rel34" localSheetId="3" hidden="1">1</definedName>
    <definedName name="solver_rel4" localSheetId="3" hidden="1">1</definedName>
    <definedName name="solver_rel5" localSheetId="3" hidden="1">1</definedName>
    <definedName name="solver_rel6" localSheetId="3" hidden="1">1</definedName>
    <definedName name="solver_rel7" localSheetId="3" hidden="1">1</definedName>
    <definedName name="solver_rel8" localSheetId="3" hidden="1">1</definedName>
    <definedName name="solver_rel9" localSheetId="3" hidden="1">3</definedName>
    <definedName name="solver_rhs1" localSheetId="3" hidden="1">Матрица!$AB$10</definedName>
    <definedName name="solver_rhs10" localSheetId="3" hidden="1">Матрица!$AB$19</definedName>
    <definedName name="solver_rhs11" localSheetId="3" hidden="1">Матрица!$AB$20</definedName>
    <definedName name="solver_rhs12" localSheetId="3" hidden="1">Матрица!$AB$21</definedName>
    <definedName name="solver_rhs13" localSheetId="3" hidden="1">Матрица!$AB$22</definedName>
    <definedName name="solver_rhs14" localSheetId="3" hidden="1">Матрица!$AB$23</definedName>
    <definedName name="solver_rhs15" localSheetId="3" hidden="1">Матрица!$AB$24</definedName>
    <definedName name="solver_rhs16" localSheetId="3" hidden="1">Матрица!$AB$25</definedName>
    <definedName name="solver_rhs17" localSheetId="3" hidden="1">Матрица!$AB$26</definedName>
    <definedName name="solver_rhs18" localSheetId="3" hidden="1">Матрица!$AB$27</definedName>
    <definedName name="solver_rhs19" localSheetId="3" hidden="1">Матрица!$AB$28</definedName>
    <definedName name="solver_rhs2" localSheetId="3" hidden="1">Матрица!$AB$11</definedName>
    <definedName name="solver_rhs20" localSheetId="3" hidden="1">Матрица!$AB$29</definedName>
    <definedName name="solver_rhs21" localSheetId="3" hidden="1">Матрица!$AB$30</definedName>
    <definedName name="solver_rhs22" localSheetId="3" hidden="1">Матрица!$AB$31</definedName>
    <definedName name="solver_rhs23" localSheetId="3" hidden="1">Матрица!$AB$32</definedName>
    <definedName name="solver_rhs24" localSheetId="3" hidden="1">Матрица!$AB$33</definedName>
    <definedName name="solver_rhs25" localSheetId="3" hidden="1">Матрица!$AB$34</definedName>
    <definedName name="solver_rhs26" localSheetId="3" hidden="1">Матрица!$AB$35</definedName>
    <definedName name="solver_rhs27" localSheetId="3" hidden="1">Матрица!$AB$36</definedName>
    <definedName name="solver_rhs28" localSheetId="3" hidden="1">Матрица!$AB$37</definedName>
    <definedName name="solver_rhs29" localSheetId="3" hidden="1">Матрица!$AB$38</definedName>
    <definedName name="solver_rhs3" localSheetId="3" hidden="1">Матрица!$AB$12</definedName>
    <definedName name="solver_rhs30" localSheetId="3" hidden="1">Матрица!$AB$39</definedName>
    <definedName name="solver_rhs31" localSheetId="3" hidden="1">Матрица!$AB$40</definedName>
    <definedName name="solver_rhs32" localSheetId="3" hidden="1">Матрица!$AB$7</definedName>
    <definedName name="solver_rhs33" localSheetId="3" hidden="1">Матрица!$AB$8</definedName>
    <definedName name="solver_rhs34" localSheetId="3" hidden="1">Матрица!$AB$9</definedName>
    <definedName name="solver_rhs4" localSheetId="3" hidden="1">Матрица!$AB$13</definedName>
    <definedName name="solver_rhs5" localSheetId="3" hidden="1">Матрица!$AB$14</definedName>
    <definedName name="solver_rhs6" localSheetId="3" hidden="1">Матрица!$AB$15</definedName>
    <definedName name="solver_rhs7" localSheetId="3" hidden="1">Матрица!$AB$16</definedName>
    <definedName name="solver_rhs8" localSheetId="3" hidden="1">Матрица!$AB$17</definedName>
    <definedName name="solver_rhs9" localSheetId="3" hidden="1">Матрица!$AB$18</definedName>
    <definedName name="solver_rlx" localSheetId="3" hidden="1">2</definedName>
    <definedName name="solver_rsd" localSheetId="3" hidden="1">0</definedName>
    <definedName name="solver_scl" localSheetId="3" hidden="1">1</definedName>
    <definedName name="solver_sho" localSheetId="3" hidden="1">2</definedName>
    <definedName name="solver_ssz" localSheetId="3" hidden="1">100</definedName>
    <definedName name="solver_tim" localSheetId="3" hidden="1">100</definedName>
    <definedName name="solver_tol" localSheetId="3" hidden="1">0.05</definedName>
    <definedName name="solver_typ" localSheetId="3" hidden="1">2</definedName>
    <definedName name="solver_val" localSheetId="3" hidden="1">0</definedName>
    <definedName name="solver_ver" localSheetId="3" hidden="1">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1" i="8"/>
  <c r="B74" i="7"/>
  <c r="B73"/>
  <c r="B72"/>
  <c r="B71"/>
  <c r="C70"/>
  <c r="B70"/>
  <c r="B69"/>
  <c r="B68"/>
  <c r="B67"/>
  <c r="B63"/>
  <c r="B62"/>
  <c r="B61"/>
  <c r="B60"/>
  <c r="B59"/>
  <c r="B58"/>
  <c r="B57"/>
  <c r="B52"/>
  <c r="B51"/>
  <c r="B49"/>
  <c r="B48"/>
  <c r="Y39" i="8" l="1"/>
  <c r="C3" i="15" l="1"/>
  <c r="D3"/>
  <c r="E3"/>
  <c r="F3"/>
  <c r="G3"/>
  <c r="H3"/>
  <c r="I3"/>
  <c r="J3"/>
  <c r="C4"/>
  <c r="D4"/>
  <c r="E4"/>
  <c r="F4"/>
  <c r="G4"/>
  <c r="H4"/>
  <c r="I4"/>
  <c r="J4"/>
  <c r="C5"/>
  <c r="D5"/>
  <c r="E5"/>
  <c r="F5"/>
  <c r="G5"/>
  <c r="H5"/>
  <c r="I5"/>
  <c r="J5"/>
  <c r="C6"/>
  <c r="D6"/>
  <c r="E6"/>
  <c r="F6"/>
  <c r="G6"/>
  <c r="H6"/>
  <c r="I6"/>
  <c r="J6"/>
  <c r="C7"/>
  <c r="D7"/>
  <c r="E7"/>
  <c r="F7"/>
  <c r="G7"/>
  <c r="H7"/>
  <c r="I7"/>
  <c r="J7"/>
  <c r="C10"/>
  <c r="D10"/>
  <c r="E10"/>
  <c r="E25" s="1"/>
  <c r="F10"/>
  <c r="F25" s="1"/>
  <c r="G10"/>
  <c r="H10"/>
  <c r="I10"/>
  <c r="I25" s="1"/>
  <c r="J10"/>
  <c r="J25" s="1"/>
  <c r="C11"/>
  <c r="D11"/>
  <c r="E11"/>
  <c r="F11"/>
  <c r="G11"/>
  <c r="H11"/>
  <c r="I11"/>
  <c r="J11"/>
  <c r="C12"/>
  <c r="D12"/>
  <c r="E12"/>
  <c r="F12"/>
  <c r="G12"/>
  <c r="H12"/>
  <c r="I12"/>
  <c r="J12"/>
  <c r="C13"/>
  <c r="D13"/>
  <c r="E13"/>
  <c r="F13"/>
  <c r="G13"/>
  <c r="H13"/>
  <c r="I13"/>
  <c r="J13"/>
  <c r="E14"/>
  <c r="F14"/>
  <c r="G14"/>
  <c r="H14"/>
  <c r="I14"/>
  <c r="J14"/>
  <c r="C15"/>
  <c r="D15"/>
  <c r="E15"/>
  <c r="F15"/>
  <c r="G15"/>
  <c r="H15"/>
  <c r="I15"/>
  <c r="J15"/>
  <c r="C16"/>
  <c r="D16"/>
  <c r="E16"/>
  <c r="F16"/>
  <c r="G16"/>
  <c r="H16"/>
  <c r="I16"/>
  <c r="J16"/>
  <c r="C17"/>
  <c r="D17"/>
  <c r="E17"/>
  <c r="F17"/>
  <c r="G17"/>
  <c r="H17"/>
  <c r="I17"/>
  <c r="J17"/>
  <c r="C18"/>
  <c r="D18"/>
  <c r="E18"/>
  <c r="F18"/>
  <c r="G18"/>
  <c r="H18"/>
  <c r="I18"/>
  <c r="J18"/>
  <c r="C19"/>
  <c r="D19"/>
  <c r="E19"/>
  <c r="F19"/>
  <c r="G19"/>
  <c r="H19"/>
  <c r="I19"/>
  <c r="J19"/>
  <c r="C20"/>
  <c r="D20"/>
  <c r="E20"/>
  <c r="F20"/>
  <c r="G20"/>
  <c r="H20"/>
  <c r="I20"/>
  <c r="J20"/>
  <c r="C21"/>
  <c r="D21"/>
  <c r="E21"/>
  <c r="F21"/>
  <c r="G21"/>
  <c r="H21"/>
  <c r="I21"/>
  <c r="J21"/>
  <c r="C22"/>
  <c r="D22"/>
  <c r="E22"/>
  <c r="F22"/>
  <c r="G22"/>
  <c r="H22"/>
  <c r="I22"/>
  <c r="J22"/>
  <c r="C23"/>
  <c r="D23"/>
  <c r="E23"/>
  <c r="F23"/>
  <c r="G23"/>
  <c r="H23"/>
  <c r="I23"/>
  <c r="J23"/>
  <c r="C24"/>
  <c r="D24"/>
  <c r="E24"/>
  <c r="F24"/>
  <c r="G24"/>
  <c r="H24"/>
  <c r="I24"/>
  <c r="J24"/>
  <c r="C25"/>
  <c r="D25"/>
  <c r="G25"/>
  <c r="H25"/>
  <c r="G65" l="1"/>
  <c r="J76" l="1"/>
  <c r="J74"/>
  <c r="J73"/>
  <c r="J72"/>
  <c r="J71"/>
  <c r="J70"/>
  <c r="J69"/>
  <c r="J68"/>
  <c r="J67"/>
  <c r="J66"/>
  <c r="J64"/>
  <c r="J65"/>
  <c r="J63"/>
  <c r="J62"/>
  <c r="L34" i="8" l="1"/>
  <c r="N34"/>
  <c r="O34"/>
  <c r="J34"/>
  <c r="Q36" l="1"/>
  <c r="P36"/>
  <c r="T36"/>
  <c r="K36"/>
  <c r="H36"/>
  <c r="G36"/>
  <c r="F35"/>
  <c r="E35"/>
  <c r="U34"/>
  <c r="D39" i="7" l="1"/>
  <c r="E39"/>
  <c r="D40"/>
  <c r="D42"/>
  <c r="E42"/>
  <c r="D43"/>
  <c r="E43"/>
  <c r="E38"/>
  <c r="D38"/>
  <c r="E23" i="2"/>
  <c r="E27"/>
  <c r="E31"/>
  <c r="E35"/>
  <c r="E36"/>
  <c r="E40"/>
  <c r="C37"/>
  <c r="E37" s="1"/>
  <c r="D37"/>
  <c r="C38"/>
  <c r="E38" s="1"/>
  <c r="D38"/>
  <c r="D39"/>
  <c r="C40"/>
  <c r="D40"/>
  <c r="C41"/>
  <c r="E41" s="1"/>
  <c r="D41"/>
  <c r="D36"/>
  <c r="C36"/>
  <c r="C22"/>
  <c r="E22" s="1"/>
  <c r="D22"/>
  <c r="C23"/>
  <c r="D23"/>
  <c r="C24"/>
  <c r="D24"/>
  <c r="E24" s="1"/>
  <c r="C25"/>
  <c r="E25" s="1"/>
  <c r="D25"/>
  <c r="C26"/>
  <c r="E26" s="1"/>
  <c r="D26"/>
  <c r="C27"/>
  <c r="D27"/>
  <c r="C28"/>
  <c r="D28"/>
  <c r="E28" s="1"/>
  <c r="C29"/>
  <c r="E29" s="1"/>
  <c r="D29"/>
  <c r="C30"/>
  <c r="E30" s="1"/>
  <c r="D30"/>
  <c r="C31"/>
  <c r="D31"/>
  <c r="C32"/>
  <c r="D32"/>
  <c r="E32" s="1"/>
  <c r="C33"/>
  <c r="E33" s="1"/>
  <c r="D33"/>
  <c r="C34"/>
  <c r="E34" s="1"/>
  <c r="D34"/>
  <c r="C35"/>
  <c r="D35"/>
  <c r="D21"/>
  <c r="C21"/>
  <c r="E21" s="1"/>
  <c r="I74" i="15" l="1"/>
  <c r="I71"/>
  <c r="I70"/>
  <c r="I66"/>
  <c r="I65"/>
  <c r="I63"/>
  <c r="I62"/>
  <c r="G76" l="1"/>
  <c r="G74"/>
  <c r="G72"/>
  <c r="G73"/>
  <c r="G71"/>
  <c r="G68"/>
  <c r="G69"/>
  <c r="G67"/>
  <c r="G66"/>
  <c r="G64"/>
  <c r="G63"/>
  <c r="F62" l="1"/>
  <c r="C6" i="1" l="1"/>
  <c r="C5"/>
  <c r="C4"/>
  <c r="C3"/>
  <c r="E76" i="15" l="1"/>
  <c r="E74"/>
  <c r="E70"/>
  <c r="E69"/>
  <c r="E68"/>
  <c r="E64"/>
  <c r="E65"/>
  <c r="E66"/>
  <c r="E63"/>
  <c r="E67"/>
  <c r="E71"/>
  <c r="E72"/>
  <c r="E73"/>
  <c r="E62"/>
  <c r="D63" l="1"/>
  <c r="D64"/>
  <c r="D65"/>
  <c r="D67"/>
  <c r="D68"/>
  <c r="D69"/>
  <c r="D70"/>
  <c r="D71"/>
  <c r="D72"/>
  <c r="D73"/>
  <c r="D74"/>
  <c r="D76"/>
  <c r="D62"/>
  <c r="C76" l="1"/>
  <c r="C74"/>
  <c r="C67"/>
  <c r="C68"/>
  <c r="C69"/>
  <c r="C70"/>
  <c r="C71"/>
  <c r="C72"/>
  <c r="C73"/>
  <c r="C65"/>
  <c r="C64"/>
  <c r="C63"/>
  <c r="C62"/>
  <c r="B3" l="1"/>
  <c r="B11"/>
  <c r="B12"/>
  <c r="B13"/>
  <c r="B14"/>
  <c r="B15"/>
  <c r="B16"/>
  <c r="B17"/>
  <c r="B18"/>
  <c r="B19"/>
  <c r="B20"/>
  <c r="B21"/>
  <c r="B22"/>
  <c r="B23"/>
  <c r="B24"/>
  <c r="B10"/>
  <c r="B25" s="1"/>
  <c r="B7" s="1"/>
  <c r="B92" i="1" l="1"/>
  <c r="B93"/>
  <c r="B94"/>
  <c r="B95"/>
  <c r="B91"/>
  <c r="B88"/>
  <c r="E4" i="2" s="1"/>
  <c r="B89" i="1"/>
  <c r="E5" i="2" s="1"/>
  <c r="B87" i="1"/>
  <c r="E3" i="2" s="1"/>
  <c r="C84" i="1"/>
  <c r="C85"/>
  <c r="C83"/>
  <c r="E24" l="1"/>
  <c r="D12"/>
  <c r="D13"/>
  <c r="D14"/>
  <c r="D15"/>
  <c r="D16"/>
  <c r="D17"/>
  <c r="D18"/>
  <c r="D19"/>
  <c r="D20"/>
  <c r="D21"/>
  <c r="D22"/>
  <c r="D23"/>
  <c r="D24"/>
  <c r="D25"/>
  <c r="D11"/>
  <c r="B12"/>
  <c r="B13"/>
  <c r="B14"/>
  <c r="B15"/>
  <c r="B16"/>
  <c r="B17"/>
  <c r="B18"/>
  <c r="B19"/>
  <c r="B20"/>
  <c r="B21"/>
  <c r="B22"/>
  <c r="B23"/>
  <c r="B24"/>
  <c r="B25"/>
  <c r="B11"/>
  <c r="C12"/>
  <c r="C13"/>
  <c r="C14"/>
  <c r="C15"/>
  <c r="C16"/>
  <c r="C17"/>
  <c r="C18"/>
  <c r="C19"/>
  <c r="C20"/>
  <c r="C21"/>
  <c r="C22"/>
  <c r="C23"/>
  <c r="C24"/>
  <c r="C25"/>
  <c r="C11"/>
  <c r="Z37" i="8"/>
  <c r="Z38"/>
  <c r="B33" i="1" l="1"/>
  <c r="C33"/>
  <c r="E33"/>
  <c r="G33"/>
  <c r="H33"/>
  <c r="I33"/>
  <c r="J33"/>
  <c r="K33"/>
  <c r="L33"/>
  <c r="M33"/>
  <c r="A33"/>
  <c r="C29"/>
  <c r="E29"/>
  <c r="G29"/>
  <c r="I29"/>
  <c r="J29"/>
  <c r="K29"/>
  <c r="M29"/>
  <c r="A29"/>
  <c r="F166" i="15" l="1"/>
  <c r="F167"/>
  <c r="F168"/>
  <c r="F169"/>
  <c r="F170"/>
  <c r="F171"/>
  <c r="F172"/>
  <c r="F173"/>
  <c r="F165"/>
  <c r="F33" i="1" s="1"/>
  <c r="D166" i="15"/>
  <c r="D167"/>
  <c r="D168"/>
  <c r="D169"/>
  <c r="D170"/>
  <c r="D171"/>
  <c r="D172"/>
  <c r="D173"/>
  <c r="D165"/>
  <c r="D33" i="1" s="1"/>
  <c r="N165" i="15"/>
  <c r="N166"/>
  <c r="N167"/>
  <c r="N168"/>
  <c r="N169"/>
  <c r="N170"/>
  <c r="N171"/>
  <c r="N172"/>
  <c r="N173"/>
  <c r="L154" l="1"/>
  <c r="L155"/>
  <c r="L156"/>
  <c r="L157"/>
  <c r="L158"/>
  <c r="L159"/>
  <c r="L160"/>
  <c r="L161"/>
  <c r="L153"/>
  <c r="L29" i="1" s="1"/>
  <c r="H154" i="15"/>
  <c r="H155"/>
  <c r="H156"/>
  <c r="H157"/>
  <c r="H158"/>
  <c r="H159"/>
  <c r="H160"/>
  <c r="H161"/>
  <c r="H153"/>
  <c r="H29" i="1" s="1"/>
  <c r="F154" i="15"/>
  <c r="F155"/>
  <c r="F156"/>
  <c r="F157"/>
  <c r="F158"/>
  <c r="F159"/>
  <c r="F160"/>
  <c r="F161"/>
  <c r="F153"/>
  <c r="F29" i="1" s="1"/>
  <c r="D154" i="15"/>
  <c r="D155"/>
  <c r="D156"/>
  <c r="D157"/>
  <c r="D158"/>
  <c r="D159"/>
  <c r="D160"/>
  <c r="D161"/>
  <c r="D153"/>
  <c r="D29" i="1" s="1"/>
  <c r="B154" i="15"/>
  <c r="B155"/>
  <c r="B156"/>
  <c r="B157"/>
  <c r="B158"/>
  <c r="B159"/>
  <c r="B160"/>
  <c r="B161"/>
  <c r="B153"/>
  <c r="B29" i="1" s="1"/>
  <c r="N154" i="15"/>
  <c r="N155"/>
  <c r="N156"/>
  <c r="N157"/>
  <c r="N158"/>
  <c r="N159"/>
  <c r="N160"/>
  <c r="N161"/>
  <c r="N153"/>
  <c r="B16" i="7" l="1"/>
  <c r="C44" i="1"/>
  <c r="B80" l="1"/>
  <c r="B81"/>
  <c r="B79"/>
  <c r="B75"/>
  <c r="X18" i="8" s="1"/>
  <c r="B76" i="1"/>
  <c r="X19" i="8" s="1"/>
  <c r="B74" i="1"/>
  <c r="B52"/>
  <c r="C52"/>
  <c r="B53"/>
  <c r="C53"/>
  <c r="B54"/>
  <c r="C54"/>
  <c r="B55"/>
  <c r="C55"/>
  <c r="B56"/>
  <c r="C56"/>
  <c r="B57"/>
  <c r="C57"/>
  <c r="B58"/>
  <c r="C58"/>
  <c r="B59"/>
  <c r="C59"/>
  <c r="B60"/>
  <c r="C60"/>
  <c r="B61"/>
  <c r="C61"/>
  <c r="B62"/>
  <c r="C62"/>
  <c r="B63"/>
  <c r="C63"/>
  <c r="B64"/>
  <c r="C64"/>
  <c r="B65"/>
  <c r="C65"/>
  <c r="B66"/>
  <c r="C66"/>
  <c r="B67"/>
  <c r="C67"/>
  <c r="B68"/>
  <c r="C68"/>
  <c r="E40" i="7" s="1"/>
  <c r="B69" i="1"/>
  <c r="C69"/>
  <c r="B70"/>
  <c r="C70"/>
  <c r="B71"/>
  <c r="C71"/>
  <c r="C51"/>
  <c r="B51"/>
  <c r="X20" i="8" l="1"/>
  <c r="X21"/>
  <c r="X24"/>
  <c r="X22"/>
  <c r="B43" i="1"/>
  <c r="B44"/>
  <c r="B45"/>
  <c r="C39" i="2" s="1"/>
  <c r="E39" s="1"/>
  <c r="E42" s="1"/>
  <c r="B46" i="1"/>
  <c r="B47"/>
  <c r="B42"/>
  <c r="B37" l="1"/>
  <c r="B38"/>
  <c r="B39"/>
  <c r="B36"/>
  <c r="X40" i="8" l="1"/>
  <c r="Y40"/>
  <c r="X39"/>
  <c r="C7" i="1"/>
  <c r="J139" i="15"/>
  <c r="I139"/>
  <c r="G139"/>
  <c r="F139"/>
  <c r="E139"/>
  <c r="D139"/>
  <c r="C139"/>
  <c r="B139"/>
  <c r="C47" i="1" s="1"/>
  <c r="J138" i="15"/>
  <c r="I138"/>
  <c r="G138"/>
  <c r="F138"/>
  <c r="E138"/>
  <c r="D138"/>
  <c r="C138"/>
  <c r="B138"/>
  <c r="C46" i="1" s="1"/>
  <c r="J137" i="15"/>
  <c r="I137"/>
  <c r="G137"/>
  <c r="F137"/>
  <c r="E137"/>
  <c r="D137"/>
  <c r="C137"/>
  <c r="B137"/>
  <c r="C45" i="1" s="1"/>
  <c r="J135" i="15"/>
  <c r="I135"/>
  <c r="G135"/>
  <c r="F135"/>
  <c r="E135"/>
  <c r="D135"/>
  <c r="C135"/>
  <c r="B135"/>
  <c r="C43" i="1" s="1"/>
  <c r="J134" i="15"/>
  <c r="I134"/>
  <c r="G134"/>
  <c r="F134"/>
  <c r="E134"/>
  <c r="D134"/>
  <c r="C134"/>
  <c r="B134"/>
  <c r="C42" i="1" s="1"/>
  <c r="I76" i="15"/>
  <c r="F76"/>
  <c r="B76"/>
  <c r="E25" i="1" s="1"/>
  <c r="F74" i="15"/>
  <c r="B74"/>
  <c r="E23" i="1" s="1"/>
  <c r="I73" i="15"/>
  <c r="F73"/>
  <c r="B73"/>
  <c r="E22" i="1" s="1"/>
  <c r="I72" i="15"/>
  <c r="F72"/>
  <c r="B72"/>
  <c r="E21" i="1" s="1"/>
  <c r="F71" i="15"/>
  <c r="B71"/>
  <c r="E20" i="1" s="1"/>
  <c r="G70" i="15"/>
  <c r="F70"/>
  <c r="B70"/>
  <c r="E19" i="1" s="1"/>
  <c r="I69" i="15"/>
  <c r="F69"/>
  <c r="B69"/>
  <c r="E18" i="1" s="1"/>
  <c r="I68" i="15"/>
  <c r="F68"/>
  <c r="B68"/>
  <c r="E17" i="1" s="1"/>
  <c r="I67" i="15"/>
  <c r="F67"/>
  <c r="B67"/>
  <c r="E16" i="1" s="1"/>
  <c r="F66" i="15"/>
  <c r="B66"/>
  <c r="E15" i="1" s="1"/>
  <c r="F65" i="15"/>
  <c r="B65"/>
  <c r="E14" i="1" s="1"/>
  <c r="I64" i="15"/>
  <c r="F64"/>
  <c r="B64"/>
  <c r="E13" i="1" s="1"/>
  <c r="F63" i="15"/>
  <c r="B63"/>
  <c r="E12" i="1" s="1"/>
  <c r="G62" i="15"/>
  <c r="B62"/>
  <c r="E11" i="1" s="1"/>
  <c r="B6" i="15"/>
  <c r="B5"/>
  <c r="B4"/>
  <c r="Z40" i="8" l="1"/>
  <c r="Z39"/>
  <c r="Z9"/>
  <c r="C43" i="7" l="1"/>
  <c r="C42"/>
  <c r="C41"/>
  <c r="C40"/>
  <c r="C39"/>
  <c r="C38"/>
  <c r="G38" l="1"/>
  <c r="F38"/>
  <c r="D51" s="1"/>
  <c r="F42"/>
  <c r="G42"/>
  <c r="G39"/>
  <c r="F39"/>
  <c r="F40"/>
  <c r="G40"/>
  <c r="F41"/>
  <c r="G41"/>
  <c r="F43"/>
  <c r="G43"/>
  <c r="D50" l="1"/>
  <c r="D52"/>
  <c r="D63"/>
  <c r="B39" l="1"/>
  <c r="B40"/>
  <c r="B41"/>
  <c r="B42"/>
  <c r="B43"/>
  <c r="B38"/>
  <c r="D41" l="1"/>
  <c r="E41"/>
  <c r="D18"/>
  <c r="D17"/>
  <c r="D16"/>
  <c r="D15"/>
  <c r="D14"/>
  <c r="D13"/>
  <c r="D11"/>
  <c r="D8"/>
  <c r="D6"/>
  <c r="D5"/>
  <c r="D12"/>
  <c r="D10"/>
  <c r="D9"/>
  <c r="D7"/>
  <c r="D4"/>
  <c r="B50" l="1"/>
  <c r="C34"/>
  <c r="C30"/>
  <c r="C27"/>
  <c r="C23"/>
  <c r="D19"/>
  <c r="E15" s="1"/>
  <c r="C31"/>
  <c r="C35"/>
  <c r="C26"/>
  <c r="C24"/>
  <c r="C32"/>
  <c r="C36"/>
  <c r="C29"/>
  <c r="C28"/>
  <c r="C25"/>
  <c r="C33"/>
  <c r="C37"/>
  <c r="B5"/>
  <c r="F5" s="1"/>
  <c r="B6"/>
  <c r="B7"/>
  <c r="F7" s="1"/>
  <c r="B8"/>
  <c r="F8" s="1"/>
  <c r="B9"/>
  <c r="B10"/>
  <c r="F10" s="1"/>
  <c r="B11"/>
  <c r="F11" s="1"/>
  <c r="B12"/>
  <c r="B13"/>
  <c r="B14"/>
  <c r="B15"/>
  <c r="F16"/>
  <c r="B17"/>
  <c r="F17" s="1"/>
  <c r="B18"/>
  <c r="F18" s="1"/>
  <c r="B4"/>
  <c r="F4" s="1"/>
  <c r="Z7" i="8"/>
  <c r="E7" i="7" l="1"/>
  <c r="E13"/>
  <c r="E9"/>
  <c r="E5"/>
  <c r="E12"/>
  <c r="E8"/>
  <c r="E14"/>
  <c r="E17"/>
  <c r="E18"/>
  <c r="E6"/>
  <c r="E10"/>
  <c r="E16"/>
  <c r="E4"/>
  <c r="B25"/>
  <c r="B28"/>
  <c r="B31"/>
  <c r="F9"/>
  <c r="B37"/>
  <c r="B33"/>
  <c r="B29"/>
  <c r="F14"/>
  <c r="B36"/>
  <c r="B32"/>
  <c r="B24"/>
  <c r="B35"/>
  <c r="B27"/>
  <c r="B34"/>
  <c r="B30"/>
  <c r="B26"/>
  <c r="F6"/>
  <c r="F13"/>
  <c r="F12"/>
  <c r="C69"/>
  <c r="E11"/>
  <c r="F15"/>
  <c r="B23"/>
  <c r="B19"/>
  <c r="AB38" i="8"/>
  <c r="AB37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Y19"/>
  <c r="W19"/>
  <c r="V19"/>
  <c r="U19"/>
  <c r="T19"/>
  <c r="S19"/>
  <c r="R19"/>
  <c r="Y18"/>
  <c r="X27"/>
  <c r="W18"/>
  <c r="W31" s="1"/>
  <c r="V18"/>
  <c r="V31" s="1"/>
  <c r="U18"/>
  <c r="U22" s="1"/>
  <c r="T18"/>
  <c r="T32" s="1"/>
  <c r="S18"/>
  <c r="S20" s="1"/>
  <c r="R18"/>
  <c r="R21" s="1"/>
  <c r="AB17"/>
  <c r="Z17"/>
  <c r="AB16"/>
  <c r="Z16"/>
  <c r="AB15"/>
  <c r="Z15"/>
  <c r="AB14"/>
  <c r="Z14"/>
  <c r="AB13"/>
  <c r="Z13"/>
  <c r="AB12"/>
  <c r="Z12"/>
  <c r="AB11"/>
  <c r="Q11"/>
  <c r="P11"/>
  <c r="O11"/>
  <c r="N11"/>
  <c r="M11"/>
  <c r="L11"/>
  <c r="K11"/>
  <c r="J11"/>
  <c r="I11"/>
  <c r="H11"/>
  <c r="G11"/>
  <c r="F11"/>
  <c r="E11"/>
  <c r="D11"/>
  <c r="C11"/>
  <c r="AB10"/>
  <c r="Z10"/>
  <c r="AB9"/>
  <c r="AB8"/>
  <c r="Z8"/>
  <c r="AB7"/>
  <c r="Y26" l="1"/>
  <c r="Y30"/>
  <c r="C11" i="7"/>
  <c r="C4"/>
  <c r="C8"/>
  <c r="C12"/>
  <c r="C6"/>
  <c r="D69"/>
  <c r="C13"/>
  <c r="F19"/>
  <c r="C7"/>
  <c r="C15"/>
  <c r="C16"/>
  <c r="C14"/>
  <c r="C9"/>
  <c r="E19"/>
  <c r="C10"/>
  <c r="C18"/>
  <c r="C5"/>
  <c r="C17"/>
  <c r="Z41" i="8"/>
  <c r="C73" i="7" s="1"/>
  <c r="Y20" i="8"/>
  <c r="R20"/>
  <c r="S21"/>
  <c r="Z11"/>
  <c r="C72" i="7" s="1"/>
  <c r="D72" s="1"/>
  <c r="Y22" i="8"/>
  <c r="U23"/>
  <c r="Y25"/>
  <c r="X26"/>
  <c r="V30"/>
  <c r="Y33"/>
  <c r="Y24"/>
  <c r="X25"/>
  <c r="Y32"/>
  <c r="X33"/>
  <c r="Y21"/>
  <c r="Y23"/>
  <c r="Y27"/>
  <c r="X28"/>
  <c r="X29"/>
  <c r="Y31"/>
  <c r="Z31" s="1"/>
  <c r="X32"/>
  <c r="T33"/>
  <c r="X23"/>
  <c r="W30"/>
  <c r="Z30" l="1"/>
  <c r="C19" i="7"/>
  <c r="H17" i="2" l="1"/>
  <c r="G17"/>
  <c r="H16"/>
  <c r="G16"/>
  <c r="H15"/>
  <c r="G15"/>
  <c r="H14"/>
  <c r="G14"/>
  <c r="H13"/>
  <c r="G13"/>
  <c r="H12"/>
  <c r="G12"/>
  <c r="H11"/>
  <c r="G11"/>
  <c r="H10"/>
  <c r="G10"/>
  <c r="H9"/>
  <c r="G9"/>
  <c r="H8"/>
  <c r="H19" i="8" s="1"/>
  <c r="G8" i="2"/>
  <c r="H18" i="8" s="1"/>
  <c r="H7" i="2"/>
  <c r="G7"/>
  <c r="H6"/>
  <c r="G6"/>
  <c r="H5"/>
  <c r="G5"/>
  <c r="H4"/>
  <c r="G4"/>
  <c r="H3"/>
  <c r="G3"/>
  <c r="H32" i="8" l="1"/>
  <c r="H33"/>
  <c r="C11" i="2"/>
  <c r="F11" s="1"/>
  <c r="C12"/>
  <c r="D12" s="1"/>
  <c r="C13"/>
  <c r="D13" s="1"/>
  <c r="C14"/>
  <c r="D14" s="1"/>
  <c r="C15"/>
  <c r="D15" s="1"/>
  <c r="C16"/>
  <c r="F16" s="1"/>
  <c r="C17"/>
  <c r="F17" s="1"/>
  <c r="I17" s="1"/>
  <c r="C4"/>
  <c r="D4" s="1"/>
  <c r="C5"/>
  <c r="D5" s="1"/>
  <c r="C6"/>
  <c r="D6" s="1"/>
  <c r="C7"/>
  <c r="F7" s="1"/>
  <c r="C8"/>
  <c r="C9"/>
  <c r="D9" s="1"/>
  <c r="C10"/>
  <c r="D10" s="1"/>
  <c r="C3"/>
  <c r="D3" s="1"/>
  <c r="P19" i="8" l="1"/>
  <c r="P18"/>
  <c r="G19"/>
  <c r="G18"/>
  <c r="Q19"/>
  <c r="Q18"/>
  <c r="K19"/>
  <c r="K18"/>
  <c r="F5" i="2"/>
  <c r="F15"/>
  <c r="F6"/>
  <c r="F10"/>
  <c r="F9"/>
  <c r="F12"/>
  <c r="L18" i="8" s="1"/>
  <c r="F3" i="2"/>
  <c r="I3" s="1"/>
  <c r="F4"/>
  <c r="F13"/>
  <c r="F14"/>
  <c r="F23" i="7" l="1"/>
  <c r="D23"/>
  <c r="M19" i="8"/>
  <c r="M18"/>
  <c r="I18"/>
  <c r="I19"/>
  <c r="E19"/>
  <c r="E18"/>
  <c r="N18"/>
  <c r="N19"/>
  <c r="L19"/>
  <c r="O19"/>
  <c r="O18"/>
  <c r="Q33"/>
  <c r="Q32"/>
  <c r="P33"/>
  <c r="P32"/>
  <c r="C19"/>
  <c r="C18"/>
  <c r="F18"/>
  <c r="F19"/>
  <c r="D19"/>
  <c r="D18"/>
  <c r="J18"/>
  <c r="J19"/>
  <c r="K32"/>
  <c r="K33"/>
  <c r="G33"/>
  <c r="Z33" s="1"/>
  <c r="Z36"/>
  <c r="G32"/>
  <c r="J3" i="2"/>
  <c r="Z32" i="8" l="1"/>
  <c r="Z19"/>
  <c r="G23" i="7"/>
  <c r="E23"/>
  <c r="J25" i="8"/>
  <c r="J24"/>
  <c r="F29"/>
  <c r="F28"/>
  <c r="L22"/>
  <c r="L23"/>
  <c r="E29"/>
  <c r="E28"/>
  <c r="M26"/>
  <c r="M27"/>
  <c r="N24"/>
  <c r="N25"/>
  <c r="I26"/>
  <c r="Z26" s="1"/>
  <c r="I27"/>
  <c r="Z27" s="1"/>
  <c r="D20"/>
  <c r="D21"/>
  <c r="C21"/>
  <c r="Z18"/>
  <c r="C20"/>
  <c r="Z20" s="1"/>
  <c r="O22"/>
  <c r="O23"/>
  <c r="Z29" l="1"/>
  <c r="Z35"/>
  <c r="Z25"/>
  <c r="Z21"/>
  <c r="Z23"/>
  <c r="Z28"/>
  <c r="Z22"/>
  <c r="Z34"/>
  <c r="Z24"/>
  <c r="J17" i="2"/>
  <c r="J16"/>
  <c r="J11"/>
  <c r="J8"/>
  <c r="J7"/>
  <c r="I16"/>
  <c r="I11"/>
  <c r="I8"/>
  <c r="I7"/>
  <c r="G36" i="7" l="1"/>
  <c r="E36"/>
  <c r="E31"/>
  <c r="G31"/>
  <c r="F27"/>
  <c r="D27"/>
  <c r="F28"/>
  <c r="D28"/>
  <c r="G27"/>
  <c r="E27"/>
  <c r="G37"/>
  <c r="E37"/>
  <c r="F36"/>
  <c r="D36"/>
  <c r="F37"/>
  <c r="D37"/>
  <c r="D31"/>
  <c r="F31"/>
  <c r="G28"/>
  <c r="E28"/>
  <c r="J10" i="2"/>
  <c r="I10"/>
  <c r="I9"/>
  <c r="J9"/>
  <c r="E30" i="7" l="1"/>
  <c r="G30"/>
  <c r="G29"/>
  <c r="E29"/>
  <c r="F30"/>
  <c r="D30"/>
  <c r="F29"/>
  <c r="D29"/>
  <c r="D62"/>
  <c r="J5" i="2"/>
  <c r="I5"/>
  <c r="I6"/>
  <c r="J6"/>
  <c r="I4"/>
  <c r="J4"/>
  <c r="F25" i="7" l="1"/>
  <c r="D25"/>
  <c r="F24"/>
  <c r="D24"/>
  <c r="G24"/>
  <c r="E24"/>
  <c r="G25"/>
  <c r="E25"/>
  <c r="G26"/>
  <c r="E26"/>
  <c r="F26"/>
  <c r="D26"/>
  <c r="D57" l="1"/>
  <c r="D61"/>
  <c r="I15" i="2"/>
  <c r="J15"/>
  <c r="G35" i="7" l="1"/>
  <c r="E35"/>
  <c r="F35"/>
  <c r="D49" s="1"/>
  <c r="D35"/>
  <c r="J14" i="2"/>
  <c r="I14"/>
  <c r="J13"/>
  <c r="J12"/>
  <c r="G33" i="7" l="1"/>
  <c r="E33"/>
  <c r="G32"/>
  <c r="E32"/>
  <c r="F34"/>
  <c r="D59" s="1"/>
  <c r="D34"/>
  <c r="G34"/>
  <c r="E34"/>
  <c r="I13" i="2"/>
  <c r="I12"/>
  <c r="E44" i="7" l="1"/>
  <c r="G44"/>
  <c r="F32"/>
  <c r="D32"/>
  <c r="F33"/>
  <c r="D60" s="1"/>
  <c r="D33"/>
  <c r="D73"/>
  <c r="D44" l="1"/>
  <c r="F44"/>
  <c r="C68"/>
  <c r="C71" s="1"/>
  <c r="D58"/>
  <c r="D48"/>
  <c r="D53" l="1"/>
  <c r="E48" s="1"/>
  <c r="D64"/>
  <c r="E58" s="1"/>
  <c r="B64"/>
  <c r="C58" s="1"/>
  <c r="D68"/>
  <c r="D71"/>
  <c r="B53"/>
  <c r="C48" s="1"/>
  <c r="C57" l="1"/>
  <c r="C63"/>
  <c r="C62"/>
  <c r="C61"/>
  <c r="C59"/>
  <c r="C60"/>
  <c r="C50"/>
  <c r="C51"/>
  <c r="C52"/>
  <c r="C49"/>
  <c r="E51"/>
  <c r="E50"/>
  <c r="E52"/>
  <c r="E49"/>
  <c r="C67"/>
  <c r="E63"/>
  <c r="E62"/>
  <c r="E57"/>
  <c r="E61"/>
  <c r="E59"/>
  <c r="E60"/>
  <c r="C53" l="1"/>
  <c r="E53"/>
  <c r="D67"/>
  <c r="C74"/>
  <c r="C64"/>
  <c r="E64"/>
  <c r="D70" l="1"/>
  <c r="D74"/>
</calcChain>
</file>

<file path=xl/sharedStrings.xml><?xml version="1.0" encoding="utf-8"?>
<sst xmlns="http://schemas.openxmlformats.org/spreadsheetml/2006/main" count="775" uniqueCount="257">
  <si>
    <t>Показатели</t>
  </si>
  <si>
    <t>Ед. изм.</t>
  </si>
  <si>
    <t>Вариант 7</t>
  </si>
  <si>
    <t>Площадь пашни под кормовые культуры</t>
  </si>
  <si>
    <t>Сенокосы естественные</t>
  </si>
  <si>
    <t>Пастбища естественные</t>
  </si>
  <si>
    <t>Пастбища культурные</t>
  </si>
  <si>
    <t>Трудовые ресурсы</t>
  </si>
  <si>
    <t>Овощные отходы</t>
  </si>
  <si>
    <t>га</t>
  </si>
  <si>
    <t>Культура</t>
  </si>
  <si>
    <t>Ячмень</t>
  </si>
  <si>
    <t>Овес</t>
  </si>
  <si>
    <t>Картофель</t>
  </si>
  <si>
    <t>Корнеплоды</t>
  </si>
  <si>
    <t>Озимая рожь на зеленый корм</t>
  </si>
  <si>
    <t>Однолетние травы на зеленый корм</t>
  </si>
  <si>
    <t>Однолетние травы на: зеленый корм</t>
  </si>
  <si>
    <t>Многолетние травы на: зеленый корм</t>
  </si>
  <si>
    <t>Культуры</t>
  </si>
  <si>
    <t>Молоко</t>
  </si>
  <si>
    <t>Надой, ц</t>
  </si>
  <si>
    <t>Потребность, ц.к. ед.</t>
  </si>
  <si>
    <t>Потребность, ц переваримого протеина</t>
  </si>
  <si>
    <t>Годовой прирост живой массы, ц</t>
  </si>
  <si>
    <t>Концентраты</t>
  </si>
  <si>
    <t>min</t>
  </si>
  <si>
    <t>max</t>
  </si>
  <si>
    <t>Грубые</t>
  </si>
  <si>
    <t>Сенаж</t>
  </si>
  <si>
    <t>Силос</t>
  </si>
  <si>
    <t>Зеленые</t>
  </si>
  <si>
    <t>Группы животных</t>
  </si>
  <si>
    <t>Животного происхождения</t>
  </si>
  <si>
    <t>Поголовье крупного рогатого скота, гол., min</t>
  </si>
  <si>
    <t>Поголовье крупного рогатого скота, гол., max</t>
  </si>
  <si>
    <t>Удельный вес коров в стаде, %, min</t>
  </si>
  <si>
    <t>Удельный вес коров в стаде, %, max</t>
  </si>
  <si>
    <t>Вид корма</t>
  </si>
  <si>
    <t>Зерноотходы</t>
  </si>
  <si>
    <t>Комбикорм</t>
  </si>
  <si>
    <t>Сено многолетних трав</t>
  </si>
  <si>
    <t>Сено естественных сенокосов</t>
  </si>
  <si>
    <t>Сенаж многолетних трав</t>
  </si>
  <si>
    <t>Сенаж однолетних трав</t>
  </si>
  <si>
    <t>Силос многолетних трав</t>
  </si>
  <si>
    <t>Силос однолетних трав</t>
  </si>
  <si>
    <t>Многолетние травы на зеленый корм</t>
  </si>
  <si>
    <t>Трава естественная пастбищная</t>
  </si>
  <si>
    <t>Трава культурная пастбищная</t>
  </si>
  <si>
    <t>Обрат</t>
  </si>
  <si>
    <t>Содержится в 1ц корма</t>
  </si>
  <si>
    <t>к. ед., ц</t>
  </si>
  <si>
    <t>перев. протеин, ц</t>
  </si>
  <si>
    <t>Естественные пастбища</t>
  </si>
  <si>
    <t>Урожайность с 1 га</t>
  </si>
  <si>
    <t>На корм</t>
  </si>
  <si>
    <t>В 1 ц (ц.к.ед)</t>
  </si>
  <si>
    <t>В 1 ц (протеина)</t>
  </si>
  <si>
    <t>Выход (ц.к.ед)</t>
  </si>
  <si>
    <t>Выход (протеина)</t>
  </si>
  <si>
    <t>Х1</t>
  </si>
  <si>
    <t>Х2</t>
  </si>
  <si>
    <t>Х3</t>
  </si>
  <si>
    <t>Х4</t>
  </si>
  <si>
    <t>Х5</t>
  </si>
  <si>
    <t>Х7</t>
  </si>
  <si>
    <t>Х8</t>
  </si>
  <si>
    <t>Х9</t>
  </si>
  <si>
    <t>Х10</t>
  </si>
  <si>
    <t>Сено</t>
  </si>
  <si>
    <t>Х11</t>
  </si>
  <si>
    <t>Х12</t>
  </si>
  <si>
    <t>Х13</t>
  </si>
  <si>
    <t>Х14</t>
  </si>
  <si>
    <t>Х15</t>
  </si>
  <si>
    <t>Х16</t>
  </si>
  <si>
    <t>Х17</t>
  </si>
  <si>
    <t>Х18</t>
  </si>
  <si>
    <t>Х19</t>
  </si>
  <si>
    <t>Х20</t>
  </si>
  <si>
    <t>Х21</t>
  </si>
  <si>
    <t>Одн.травы на з.к.</t>
  </si>
  <si>
    <t>Естественные сенокосы</t>
  </si>
  <si>
    <t>Виды культур</t>
  </si>
  <si>
    <t>на силос</t>
  </si>
  <si>
    <t>на сенаж</t>
  </si>
  <si>
    <t>на сено</t>
  </si>
  <si>
    <t>Урожайность, ц с 1 га</t>
  </si>
  <si>
    <t>Объем, ц</t>
  </si>
  <si>
    <t>Матричная модель задачи</t>
  </si>
  <si>
    <t>Название ограничения</t>
  </si>
  <si>
    <t>Приложения 1</t>
  </si>
  <si>
    <t>Переменные</t>
  </si>
  <si>
    <t>Формула</t>
  </si>
  <si>
    <t>Однол. трава на зел. корм</t>
  </si>
  <si>
    <t>Многол. травы на зел.корм</t>
  </si>
  <si>
    <t>Санаж</t>
  </si>
  <si>
    <t>Культ. пастьища</t>
  </si>
  <si>
    <t>Поголовье коров</t>
  </si>
  <si>
    <t>Молодняк КРС</t>
  </si>
  <si>
    <t>х1</t>
  </si>
  <si>
    <t>х2</t>
  </si>
  <si>
    <t>х3</t>
  </si>
  <si>
    <t>х4</t>
  </si>
  <si>
    <t>х5</t>
  </si>
  <si>
    <t>х6</t>
  </si>
  <si>
    <t>х7</t>
  </si>
  <si>
    <t>х8</t>
  </si>
  <si>
    <t>х9</t>
  </si>
  <si>
    <t>х10</t>
  </si>
  <si>
    <t>х11</t>
  </si>
  <si>
    <t>х12</t>
  </si>
  <si>
    <t>х13</t>
  </si>
  <si>
    <t>х14</t>
  </si>
  <si>
    <t>х15</t>
  </si>
  <si>
    <t>х16</t>
  </si>
  <si>
    <t>х17</t>
  </si>
  <si>
    <t>х18</t>
  </si>
  <si>
    <t>х19</t>
  </si>
  <si>
    <t>х20</t>
  </si>
  <si>
    <t>х21</t>
  </si>
  <si>
    <t>х22</t>
  </si>
  <si>
    <t>х23</t>
  </si>
  <si>
    <t xml:space="preserve">Целевая функция </t>
  </si>
  <si>
    <t>&lt;=</t>
  </si>
  <si>
    <t>&gt;=</t>
  </si>
  <si>
    <t>Итого:</t>
  </si>
  <si>
    <t>Факт</t>
  </si>
  <si>
    <t>Расчет</t>
  </si>
  <si>
    <t>% изменения</t>
  </si>
  <si>
    <t>% к итогу</t>
  </si>
  <si>
    <t>К. ед., ц</t>
  </si>
  <si>
    <t>Перев. протеин, ц</t>
  </si>
  <si>
    <t>Источники поступления кормов</t>
  </si>
  <si>
    <t>Кол-во кормов, ц. к.ед.</t>
  </si>
  <si>
    <t>Полевое кормопроизводство</t>
  </si>
  <si>
    <t>Природные кормовые угодья</t>
  </si>
  <si>
    <t>Побочная продукция растениеводства</t>
  </si>
  <si>
    <t>Покупные корма</t>
  </si>
  <si>
    <t>Корма животного происхождения</t>
  </si>
  <si>
    <t>ц.пер.прот.</t>
  </si>
  <si>
    <t>Общая кормовая площадь, га</t>
  </si>
  <si>
    <t>Потребность коров в питательных веществах (на одну голову в год)</t>
  </si>
  <si>
    <t>Потребность молодняка крупного рогатого скота в питательных веществах (на одну голову в год)</t>
  </si>
  <si>
    <t>Наличие и приобретение отдельных видов кормов, ц</t>
  </si>
  <si>
    <t>Производственные ресурсы предприятия</t>
  </si>
  <si>
    <t>Основные показатели по растениеводству</t>
  </si>
  <si>
    <t>Допустимые границы содержания отдельных групп  кормов в годовом рационе коров, %</t>
  </si>
  <si>
    <t>Удельный вес коров и поголовье КРС</t>
  </si>
  <si>
    <t>Питательная ценность кормов</t>
  </si>
  <si>
    <t>Многолетние травы: на зеленый корм</t>
  </si>
  <si>
    <t>Площадь кормовых культур и природных кормовых угодий, га</t>
  </si>
  <si>
    <t>Стоимость кормов, руб.</t>
  </si>
  <si>
    <t>чел.-ч.</t>
  </si>
  <si>
    <t>На одну голову в год</t>
  </si>
  <si>
    <t>Итого</t>
  </si>
  <si>
    <t>материально-денежных средств, руб.</t>
  </si>
  <si>
    <t xml:space="preserve">Ограничения </t>
  </si>
  <si>
    <t>Солома  от потребности в грубых кормах</t>
  </si>
  <si>
    <t>Картофель от потребности в корнеплодах</t>
  </si>
  <si>
    <t>Зеленый корм с естественных и культурных пастбищ от потребности в зеленых кормах</t>
  </si>
  <si>
    <t>Таблица 1 - Производственные ресурсы предприятия</t>
  </si>
  <si>
    <t>Показатель</t>
  </si>
  <si>
    <t>Вариант 1</t>
  </si>
  <si>
    <t>Вариант 2</t>
  </si>
  <si>
    <t>Вариант 3</t>
  </si>
  <si>
    <t>Вариант 4</t>
  </si>
  <si>
    <t>Вариант 5</t>
  </si>
  <si>
    <t>Вариант 6</t>
  </si>
  <si>
    <t>Вариант 8</t>
  </si>
  <si>
    <t>Вариант 9</t>
  </si>
  <si>
    <t>Таблица 2 - Урожайность сельскохозяйственных культур, ц с 1га</t>
  </si>
  <si>
    <t>Таблица 3 - Затраты труда на 1 га., чел.-ч</t>
  </si>
  <si>
    <t>Таблица 4 - Материально-денежные затраты на 1 га, руб.</t>
  </si>
  <si>
    <t>Таблица 5 -Площадь кормовых культур и природных кормовых угодий, га</t>
  </si>
  <si>
    <t>Таблица 6 - Удельный вес коров и поголовье КРС</t>
  </si>
  <si>
    <t>Таблица 7 - Питательная ценность кормов</t>
  </si>
  <si>
    <t>Таблица 8 - Наличие и приобретение отдельных видов кормов, ц</t>
  </si>
  <si>
    <t>Таблица 9 - Стоимость кормов, руб/ц</t>
  </si>
  <si>
    <t xml:space="preserve">Солома </t>
  </si>
  <si>
    <t>Таблица 10 - Потребность коров в питательных веществах (на одну голову в год)</t>
  </si>
  <si>
    <t>Таблица 11 - Потребность молодняка крупного рогатого скота в питательных веществах (на одну голову в год)</t>
  </si>
  <si>
    <t>Таблица 12 - Допустимые границы содержания отдельных групп кормов в годовом рационе коров, %</t>
  </si>
  <si>
    <t>Корнеклубнеплоды</t>
  </si>
  <si>
    <t>Сочные</t>
  </si>
  <si>
    <t>Допустимые границы содержания отдельных групп и видов кормов в годовом рационе кормления молодняка КРС, %</t>
  </si>
  <si>
    <t>Таблица 13 - Допустимые границы содержания отдельных групп и видов кормов в годовом рационе кормления молодняка крупного рогатого скота, %</t>
  </si>
  <si>
    <t>Страховые запасы, отходы и потери при хранении:</t>
  </si>
  <si>
    <t>Нормы высева (посадки) семян с учетом страхового фонда, ц</t>
  </si>
  <si>
    <t>Зерновые</t>
  </si>
  <si>
    <t>Картофель и корнеплоды</t>
  </si>
  <si>
    <t>Угар силосных культур</t>
  </si>
  <si>
    <t>Выход сенажа из зеленой массы</t>
  </si>
  <si>
    <t>Цена (себестоимость) 1 ц</t>
  </si>
  <si>
    <t>Х6</t>
  </si>
  <si>
    <t>Ограничение по площади пашни</t>
  </si>
  <si>
    <t xml:space="preserve">Ограничения по площади сенокосов естественных </t>
  </si>
  <si>
    <t xml:space="preserve">Ограничение по площади пастбищ естественных </t>
  </si>
  <si>
    <t xml:space="preserve">Ограничения по площади пастбищ культурных </t>
  </si>
  <si>
    <t>Ограничение по использованию трудовых ресурсов</t>
  </si>
  <si>
    <t>Ограничение по приобретению комбикорма</t>
  </si>
  <si>
    <t xml:space="preserve">Ограничение по использованию зерноотходов </t>
  </si>
  <si>
    <t xml:space="preserve">Ограничение по использованию овощных отходов </t>
  </si>
  <si>
    <t xml:space="preserve">Ограничение по использованию молока </t>
  </si>
  <si>
    <t xml:space="preserve">Ограничение по использованию обрата </t>
  </si>
  <si>
    <t>Ограничение по обеспечению животноводства кормовыми единицами</t>
  </si>
  <si>
    <t>Ограничения по обеспечению животноводства переваримым протеином</t>
  </si>
  <si>
    <t>Ограничение по содержанию концентратов min</t>
  </si>
  <si>
    <t xml:space="preserve">Ограничение по содержанию концентратов max </t>
  </si>
  <si>
    <t xml:space="preserve">Ограничение по содержанию сена min </t>
  </si>
  <si>
    <t xml:space="preserve">Ограничение по содержанию сена max </t>
  </si>
  <si>
    <t>Ограничение по содержанию сенажа min</t>
  </si>
  <si>
    <t xml:space="preserve">Ограничение по содержанию сенажа max </t>
  </si>
  <si>
    <t>Ограничение по содержанию силоса min</t>
  </si>
  <si>
    <t xml:space="preserve">Ограничения по содержанию силоса max </t>
  </si>
  <si>
    <t>Ограничения по содержанию корнеклубнеплодов min</t>
  </si>
  <si>
    <t xml:space="preserve">Ограничения по содержанию корнеклубнеплодов max </t>
  </si>
  <si>
    <t>Ограничения по содержанию кормов животного происхождения min</t>
  </si>
  <si>
    <t>Ограничения по содержанию кормов животного происхождения max</t>
  </si>
  <si>
    <t>Ограничения по содержанию зеленых кормов min</t>
  </si>
  <si>
    <t xml:space="preserve">Ограничения по содержанию зеленых кормов max </t>
  </si>
  <si>
    <t>Ограничение по содержанию соломы в структуре грубых кормов</t>
  </si>
  <si>
    <t xml:space="preserve">Ограничение по содержанию картофеля в структуре корнеклубнеплодов </t>
  </si>
  <si>
    <t>Ограничение по содержанию зеленого корма с естественных и культурных пастбищ в структуре зеленых кормов</t>
  </si>
  <si>
    <t>Ограничение по min поголовью животных, голов</t>
  </si>
  <si>
    <t>Ограничение по max поголовью животных, голов</t>
  </si>
  <si>
    <t>Ограничение по min удельному весу коров в стаде, голов</t>
  </si>
  <si>
    <t>Ограничение по max удельному весу коров в стаде, голов</t>
  </si>
  <si>
    <t>№ п/п</t>
  </si>
  <si>
    <t>Значения переменных</t>
  </si>
  <si>
    <t>Тип ограничения</t>
  </si>
  <si>
    <t>Объем ограничения</t>
  </si>
  <si>
    <t>Структура посевных площадей и природных кормовых угодий</t>
  </si>
  <si>
    <t>Производство кормов</t>
  </si>
  <si>
    <t>Структура кормопроизводства</t>
  </si>
  <si>
    <t>Структура рационов кормления животных</t>
  </si>
  <si>
    <t>ВСПОМОГАТЕЛЬНАЯ ТАБЛИЦА</t>
  </si>
  <si>
    <t>Трудовые ресурсы чел.-час</t>
  </si>
  <si>
    <t>Изменения, %</t>
  </si>
  <si>
    <t>Солома</t>
  </si>
  <si>
    <t>Выход переваримого протеина с 1 га, ц</t>
  </si>
  <si>
    <t>Корма собственного производства, ц.к.ед.</t>
  </si>
  <si>
    <t>Затраты труда на производство кормов, чел.-час.</t>
  </si>
  <si>
    <t>Себестоимость 1 ц.к.ед., руб.</t>
  </si>
  <si>
    <t>Выход кормовых единиц с 1 га, ц</t>
  </si>
  <si>
    <t>Материально-денежные затраты на корма, руб.</t>
  </si>
  <si>
    <t>Площадь, га Количествово, ц.</t>
  </si>
  <si>
    <t>Затраты на 1 га</t>
  </si>
  <si>
    <t xml:space="preserve">труда, чел-час. </t>
  </si>
  <si>
    <t>Площадь, га Объем, ц</t>
  </si>
  <si>
    <t>Затраты материально-денежных средств на 1 га. Цена (себестоимость) 1 ц, руб.</t>
  </si>
  <si>
    <t>Стоимость кормов</t>
  </si>
  <si>
    <t>Распределение продукции растениеводства</t>
  </si>
  <si>
    <t>Ограничение по использованию соломы</t>
  </si>
  <si>
    <t>На семена</t>
  </si>
  <si>
    <t>Экономическая оценка кормов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</si>
</sst>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b/>
      <sz val="11"/>
      <color rgb="FF0000FF"/>
      <name val="Calibri"/>
      <family val="2"/>
      <charset val="204"/>
      <scheme val="minor"/>
    </font>
    <font>
      <sz val="11"/>
      <color rgb="FF3333FF"/>
      <name val="Calibri"/>
      <family val="2"/>
      <charset val="204"/>
      <scheme val="minor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333FF"/>
      </left>
      <right style="thin">
        <color rgb="FF3333FF"/>
      </right>
      <top style="thin">
        <color rgb="FF3333FF"/>
      </top>
      <bottom style="thin">
        <color rgb="FF3333FF"/>
      </bottom>
      <diagonal/>
    </border>
    <border>
      <left style="thin">
        <color rgb="FF3333FF"/>
      </left>
      <right style="thin">
        <color rgb="FF3333FF"/>
      </right>
      <top style="thin">
        <color rgb="FF3333FF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83">
    <xf numFmtId="0" fontId="0" fillId="0" borderId="0" xfId="0"/>
    <xf numFmtId="0" fontId="0" fillId="0" borderId="1" xfId="0" applyBorder="1"/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0" fillId="0" borderId="1" xfId="0" applyFill="1" applyBorder="1" applyAlignment="1">
      <alignment horizontal="center" vertical="center" textRotation="90" wrapText="1"/>
    </xf>
    <xf numFmtId="0" fontId="0" fillId="0" borderId="1" xfId="0" applyFill="1" applyBorder="1" applyAlignment="1">
      <alignment horizontal="center" vertical="center" textRotation="90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2" borderId="1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1" fontId="0" fillId="0" borderId="1" xfId="0" applyNumberForma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1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top"/>
    </xf>
    <xf numFmtId="165" fontId="11" fillId="0" borderId="1" xfId="1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1" fillId="0" borderId="1" xfId="0" applyFont="1" applyBorder="1" applyAlignment="1">
      <alignment vertical="top" wrapText="1"/>
    </xf>
    <xf numFmtId="0" fontId="10" fillId="0" borderId="0" xfId="0" applyFont="1" applyBorder="1" applyAlignment="1">
      <alignment vertical="center" wrapText="1"/>
    </xf>
    <xf numFmtId="165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/>
    <xf numFmtId="2" fontId="11" fillId="0" borderId="1" xfId="0" applyNumberFormat="1" applyFont="1" applyBorder="1" applyAlignment="1">
      <alignment horizontal="center" vertical="center"/>
    </xf>
    <xf numFmtId="0" fontId="5" fillId="0" borderId="0" xfId="0" applyFont="1" applyBorder="1"/>
    <xf numFmtId="0" fontId="5" fillId="0" borderId="1" xfId="0" applyFont="1" applyFill="1" applyBorder="1" applyAlignment="1">
      <alignment horizontal="left" vertical="top" wrapText="1"/>
    </xf>
    <xf numFmtId="2" fontId="0" fillId="0" borderId="1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1" xfId="0" applyFont="1" applyBorder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top"/>
    </xf>
    <xf numFmtId="2" fontId="11" fillId="0" borderId="8" xfId="0" applyNumberFormat="1" applyFont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/>
    <xf numFmtId="0" fontId="11" fillId="0" borderId="2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/>
    </xf>
    <xf numFmtId="165" fontId="11" fillId="0" borderId="0" xfId="0" applyNumberFormat="1" applyFont="1" applyBorder="1" applyAlignment="1">
      <alignment horizontal="center"/>
    </xf>
    <xf numFmtId="0" fontId="1" fillId="0" borderId="0" xfId="0" applyFont="1"/>
    <xf numFmtId="0" fontId="11" fillId="0" borderId="1" xfId="0" applyFont="1" applyFill="1" applyBorder="1" applyAlignment="1">
      <alignment horizontal="left" vertical="top" wrapText="1"/>
    </xf>
    <xf numFmtId="165" fontId="11" fillId="0" borderId="1" xfId="0" applyNumberFormat="1" applyFont="1" applyFill="1" applyBorder="1" applyAlignment="1">
      <alignment horizontal="center"/>
    </xf>
    <xf numFmtId="0" fontId="7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/>
    <xf numFmtId="1" fontId="5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5" fillId="0" borderId="0" xfId="0" applyFont="1" applyAlignment="1">
      <alignment horizontal="left" vertical="top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165" fontId="10" fillId="0" borderId="1" xfId="0" applyNumberFormat="1" applyFont="1" applyBorder="1" applyAlignment="1">
      <alignment horizontal="center"/>
    </xf>
    <xf numFmtId="165" fontId="10" fillId="0" borderId="0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left" vertical="top" wrapText="1"/>
    </xf>
    <xf numFmtId="165" fontId="10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0" fillId="0" borderId="1" xfId="0" applyFill="1" applyBorder="1"/>
    <xf numFmtId="0" fontId="15" fillId="0" borderId="0" xfId="0" applyFont="1"/>
    <xf numFmtId="0" fontId="11" fillId="0" borderId="0" xfId="0" applyFont="1" applyAlignment="1">
      <alignment horizontal="center" vertical="center" wrapText="1"/>
    </xf>
    <xf numFmtId="0" fontId="16" fillId="0" borderId="9" xfId="0" applyFont="1" applyBorder="1"/>
    <xf numFmtId="0" fontId="16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0" xfId="0" applyFill="1"/>
    <xf numFmtId="1" fontId="11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top"/>
    </xf>
    <xf numFmtId="0" fontId="5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0" fillId="0" borderId="5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textRotation="90" wrapText="1"/>
    </xf>
    <xf numFmtId="0" fontId="0" fillId="0" borderId="8" xfId="0" applyFill="1" applyBorder="1" applyAlignment="1">
      <alignment horizontal="center" vertical="center" textRotation="90" wrapText="1"/>
    </xf>
    <xf numFmtId="0" fontId="0" fillId="0" borderId="7" xfId="0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7"/>
  <sheetViews>
    <sheetView topLeftCell="A28" workbookViewId="0">
      <selection activeCell="K21" sqref="K21"/>
    </sheetView>
  </sheetViews>
  <sheetFormatPr defaultRowHeight="15"/>
  <cols>
    <col min="1" max="1" width="27.85546875" customWidth="1"/>
    <col min="2" max="13" width="11" customWidth="1"/>
  </cols>
  <sheetData>
    <row r="1" spans="1:13">
      <c r="A1" s="117" t="s">
        <v>162</v>
      </c>
      <c r="B1" s="69"/>
      <c r="C1" s="69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>
      <c r="A2" s="67" t="s">
        <v>163</v>
      </c>
      <c r="B2" s="67" t="s">
        <v>164</v>
      </c>
      <c r="C2" s="67" t="s">
        <v>165</v>
      </c>
      <c r="D2" s="67" t="s">
        <v>166</v>
      </c>
      <c r="E2" s="67" t="s">
        <v>167</v>
      </c>
      <c r="F2" s="67" t="s">
        <v>168</v>
      </c>
      <c r="G2" s="67" t="s">
        <v>169</v>
      </c>
      <c r="H2" s="67" t="s">
        <v>2</v>
      </c>
      <c r="I2" s="67" t="s">
        <v>170</v>
      </c>
      <c r="J2" s="67" t="s">
        <v>171</v>
      </c>
      <c r="K2" s="67" t="s">
        <v>1</v>
      </c>
      <c r="L2" s="47"/>
      <c r="M2" s="47"/>
    </row>
    <row r="3" spans="1:13" ht="30">
      <c r="A3" s="60" t="s">
        <v>3</v>
      </c>
      <c r="B3" s="66">
        <f>SUM(B79:B90)</f>
        <v>968</v>
      </c>
      <c r="C3" s="66">
        <f t="shared" ref="C3:J3" si="0">SUM(C79:C90)</f>
        <v>770</v>
      </c>
      <c r="D3" s="66">
        <f t="shared" si="0"/>
        <v>870</v>
      </c>
      <c r="E3" s="66">
        <f t="shared" si="0"/>
        <v>782</v>
      </c>
      <c r="F3" s="66">
        <f t="shared" si="0"/>
        <v>1430</v>
      </c>
      <c r="G3" s="66">
        <f t="shared" si="0"/>
        <v>1060</v>
      </c>
      <c r="H3" s="66">
        <f t="shared" si="0"/>
        <v>1313</v>
      </c>
      <c r="I3" s="66">
        <f t="shared" si="0"/>
        <v>1460</v>
      </c>
      <c r="J3" s="66">
        <f t="shared" si="0"/>
        <v>1965</v>
      </c>
      <c r="K3" s="67" t="s">
        <v>9</v>
      </c>
      <c r="L3" s="47"/>
      <c r="M3" s="47"/>
    </row>
    <row r="4" spans="1:13">
      <c r="A4" s="70" t="s">
        <v>4</v>
      </c>
      <c r="B4" s="66">
        <f>B91</f>
        <v>90</v>
      </c>
      <c r="C4" s="66">
        <f t="shared" ref="C4:J6" si="1">C91</f>
        <v>50</v>
      </c>
      <c r="D4" s="66">
        <f t="shared" si="1"/>
        <v>90</v>
      </c>
      <c r="E4" s="66">
        <f t="shared" si="1"/>
        <v>90</v>
      </c>
      <c r="F4" s="66">
        <f t="shared" si="1"/>
        <v>300</v>
      </c>
      <c r="G4" s="66">
        <f t="shared" si="1"/>
        <v>400</v>
      </c>
      <c r="H4" s="66">
        <f t="shared" si="1"/>
        <v>150</v>
      </c>
      <c r="I4" s="66">
        <f t="shared" si="1"/>
        <v>50</v>
      </c>
      <c r="J4" s="66">
        <f t="shared" si="1"/>
        <v>300</v>
      </c>
      <c r="K4" s="67" t="s">
        <v>9</v>
      </c>
      <c r="L4" s="47"/>
      <c r="M4" s="47"/>
    </row>
    <row r="5" spans="1:13">
      <c r="A5" s="70" t="s">
        <v>5</v>
      </c>
      <c r="B5" s="66">
        <f>B92</f>
        <v>120</v>
      </c>
      <c r="C5" s="66">
        <f t="shared" si="1"/>
        <v>90</v>
      </c>
      <c r="D5" s="66">
        <f t="shared" si="1"/>
        <v>120</v>
      </c>
      <c r="E5" s="66">
        <f t="shared" si="1"/>
        <v>150</v>
      </c>
      <c r="F5" s="66">
        <f t="shared" si="1"/>
        <v>300</v>
      </c>
      <c r="G5" s="66">
        <f t="shared" si="1"/>
        <v>200</v>
      </c>
      <c r="H5" s="66">
        <f t="shared" si="1"/>
        <v>100</v>
      </c>
      <c r="I5" s="66">
        <f t="shared" si="1"/>
        <v>50</v>
      </c>
      <c r="J5" s="66">
        <f t="shared" si="1"/>
        <v>200</v>
      </c>
      <c r="K5" s="67" t="s">
        <v>9</v>
      </c>
      <c r="L5" s="47"/>
      <c r="M5" s="47"/>
    </row>
    <row r="6" spans="1:13">
      <c r="A6" s="70" t="s">
        <v>6</v>
      </c>
      <c r="B6" s="66">
        <f>B93</f>
        <v>60</v>
      </c>
      <c r="C6" s="66">
        <f t="shared" si="1"/>
        <v>80</v>
      </c>
      <c r="D6" s="66">
        <f t="shared" si="1"/>
        <v>60</v>
      </c>
      <c r="E6" s="66">
        <f t="shared" si="1"/>
        <v>130</v>
      </c>
      <c r="F6" s="66">
        <f t="shared" si="1"/>
        <v>80</v>
      </c>
      <c r="G6" s="66">
        <f t="shared" si="1"/>
        <v>50</v>
      </c>
      <c r="H6" s="66">
        <f t="shared" si="1"/>
        <v>100</v>
      </c>
      <c r="I6" s="66">
        <f t="shared" si="1"/>
        <v>50</v>
      </c>
      <c r="J6" s="66">
        <f t="shared" si="1"/>
        <v>150</v>
      </c>
      <c r="K6" s="67" t="s">
        <v>9</v>
      </c>
      <c r="L6" s="47"/>
      <c r="M6" s="47"/>
    </row>
    <row r="7" spans="1:13">
      <c r="A7" s="70" t="s">
        <v>7</v>
      </c>
      <c r="B7" s="66">
        <f>B25</f>
        <v>18680</v>
      </c>
      <c r="C7" s="97">
        <f t="shared" ref="C7:J7" si="2">C25</f>
        <v>15060</v>
      </c>
      <c r="D7" s="97">
        <f t="shared" si="2"/>
        <v>16940</v>
      </c>
      <c r="E7" s="97">
        <f t="shared" si="2"/>
        <v>20670</v>
      </c>
      <c r="F7" s="97">
        <f t="shared" si="2"/>
        <v>58420</v>
      </c>
      <c r="G7" s="97">
        <f t="shared" si="2"/>
        <v>38600</v>
      </c>
      <c r="H7" s="97">
        <f t="shared" si="2"/>
        <v>54880</v>
      </c>
      <c r="I7" s="97">
        <f t="shared" si="2"/>
        <v>50740</v>
      </c>
      <c r="J7" s="97">
        <f t="shared" si="2"/>
        <v>79340</v>
      </c>
      <c r="K7" s="66" t="s">
        <v>154</v>
      </c>
      <c r="L7" s="47"/>
      <c r="M7" s="47"/>
    </row>
    <row r="8" spans="1:13">
      <c r="A8" s="123" t="s">
        <v>237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47"/>
      <c r="M8" s="47"/>
    </row>
    <row r="9" spans="1:13">
      <c r="A9" s="125" t="s">
        <v>238</v>
      </c>
      <c r="B9" s="126" t="s">
        <v>164</v>
      </c>
      <c r="C9" s="126" t="s">
        <v>165</v>
      </c>
      <c r="D9" s="126" t="s">
        <v>166</v>
      </c>
      <c r="E9" s="126" t="s">
        <v>167</v>
      </c>
      <c r="F9" s="126" t="s">
        <v>168</v>
      </c>
      <c r="G9" s="126" t="s">
        <v>169</v>
      </c>
      <c r="H9" s="126" t="s">
        <v>2</v>
      </c>
      <c r="I9" s="126" t="s">
        <v>170</v>
      </c>
      <c r="J9" s="126" t="s">
        <v>171</v>
      </c>
      <c r="L9" s="47"/>
      <c r="M9" s="47"/>
    </row>
    <row r="10" spans="1:13">
      <c r="A10" s="127" t="s">
        <v>11</v>
      </c>
      <c r="B10" s="128">
        <f>B45*B79</f>
        <v>980</v>
      </c>
      <c r="C10" s="128">
        <f>C45*C79</f>
        <v>1680</v>
      </c>
      <c r="D10" s="128">
        <f t="shared" ref="D10:J10" si="3">D45*D79</f>
        <v>1530</v>
      </c>
      <c r="E10" s="128">
        <f t="shared" si="3"/>
        <v>3240</v>
      </c>
      <c r="F10" s="128">
        <f t="shared" si="3"/>
        <v>6000</v>
      </c>
      <c r="G10" s="128">
        <f t="shared" si="3"/>
        <v>4200</v>
      </c>
      <c r="H10" s="128">
        <f t="shared" si="3"/>
        <v>6000</v>
      </c>
      <c r="I10" s="128">
        <f t="shared" si="3"/>
        <v>6600</v>
      </c>
      <c r="J10" s="128">
        <f t="shared" si="3"/>
        <v>12500</v>
      </c>
      <c r="K10" s="89"/>
      <c r="L10" s="47"/>
      <c r="M10" s="47"/>
    </row>
    <row r="11" spans="1:13">
      <c r="A11" s="127" t="s">
        <v>12</v>
      </c>
      <c r="B11" s="128">
        <f t="shared" ref="B11:J24" si="4">B46*B80</f>
        <v>1960</v>
      </c>
      <c r="C11" s="128">
        <f t="shared" si="4"/>
        <v>1050</v>
      </c>
      <c r="D11" s="128">
        <f t="shared" si="4"/>
        <v>3200</v>
      </c>
      <c r="E11" s="128">
        <f t="shared" si="4"/>
        <v>850</v>
      </c>
      <c r="F11" s="128">
        <f t="shared" si="4"/>
        <v>5700</v>
      </c>
      <c r="G11" s="128">
        <f t="shared" si="4"/>
        <v>3800</v>
      </c>
      <c r="H11" s="128">
        <f t="shared" si="4"/>
        <v>8400</v>
      </c>
      <c r="I11" s="128">
        <f t="shared" si="4"/>
        <v>6900</v>
      </c>
      <c r="J11" s="128">
        <f t="shared" si="4"/>
        <v>12000</v>
      </c>
      <c r="K11" s="89"/>
      <c r="L11" s="47"/>
      <c r="M11" s="47"/>
    </row>
    <row r="12" spans="1:13">
      <c r="A12" s="127" t="s">
        <v>13</v>
      </c>
      <c r="B12" s="128">
        <f t="shared" si="4"/>
        <v>4000</v>
      </c>
      <c r="C12" s="128">
        <f t="shared" si="4"/>
        <v>2500</v>
      </c>
      <c r="D12" s="128">
        <f t="shared" si="4"/>
        <v>1150</v>
      </c>
      <c r="E12" s="128">
        <f t="shared" si="4"/>
        <v>3720</v>
      </c>
      <c r="F12" s="128">
        <f t="shared" si="4"/>
        <v>19000</v>
      </c>
      <c r="G12" s="128">
        <f t="shared" si="4"/>
        <v>6000</v>
      </c>
      <c r="H12" s="128">
        <f t="shared" si="4"/>
        <v>13860</v>
      </c>
      <c r="I12" s="128">
        <f t="shared" si="4"/>
        <v>11000</v>
      </c>
      <c r="J12" s="128">
        <f t="shared" si="4"/>
        <v>18000</v>
      </c>
      <c r="K12" s="89"/>
      <c r="L12" s="47"/>
      <c r="M12" s="47"/>
    </row>
    <row r="13" spans="1:13">
      <c r="A13" s="127" t="s">
        <v>14</v>
      </c>
      <c r="B13" s="128">
        <f t="shared" si="4"/>
        <v>2400</v>
      </c>
      <c r="C13" s="128">
        <f t="shared" si="4"/>
        <v>1650</v>
      </c>
      <c r="D13" s="128">
        <f t="shared" si="4"/>
        <v>1750</v>
      </c>
      <c r="E13" s="128">
        <f t="shared" si="4"/>
        <v>3400</v>
      </c>
      <c r="F13" s="128">
        <f t="shared" si="4"/>
        <v>12000</v>
      </c>
      <c r="G13" s="128">
        <f t="shared" si="4"/>
        <v>10500</v>
      </c>
      <c r="H13" s="128">
        <f t="shared" si="4"/>
        <v>13500</v>
      </c>
      <c r="I13" s="128">
        <f t="shared" si="4"/>
        <v>6900</v>
      </c>
      <c r="J13" s="128">
        <f t="shared" si="4"/>
        <v>11750</v>
      </c>
      <c r="K13" s="89"/>
      <c r="L13" s="47"/>
      <c r="M13" s="47"/>
    </row>
    <row r="14" spans="1:13" ht="30">
      <c r="A14" s="129" t="s">
        <v>15</v>
      </c>
      <c r="B14" s="128">
        <f t="shared" si="4"/>
        <v>450</v>
      </c>
      <c r="C14" s="128"/>
      <c r="D14" s="128"/>
      <c r="E14" s="128">
        <f t="shared" si="4"/>
        <v>540</v>
      </c>
      <c r="F14" s="128">
        <f t="shared" si="4"/>
        <v>630</v>
      </c>
      <c r="G14" s="128">
        <f t="shared" si="4"/>
        <v>880</v>
      </c>
      <c r="H14" s="128">
        <f t="shared" si="4"/>
        <v>660</v>
      </c>
      <c r="I14" s="128">
        <f t="shared" si="4"/>
        <v>1150</v>
      </c>
      <c r="J14" s="128">
        <f t="shared" si="4"/>
        <v>960</v>
      </c>
      <c r="K14" s="89"/>
      <c r="L14" s="47"/>
      <c r="M14" s="47"/>
    </row>
    <row r="15" spans="1:13" ht="30">
      <c r="A15" s="129" t="s">
        <v>16</v>
      </c>
      <c r="B15" s="128">
        <f t="shared" si="4"/>
        <v>750</v>
      </c>
      <c r="C15" s="128">
        <f t="shared" si="4"/>
        <v>850</v>
      </c>
      <c r="D15" s="128">
        <f t="shared" si="4"/>
        <v>540</v>
      </c>
      <c r="E15" s="128">
        <f t="shared" si="4"/>
        <v>1200</v>
      </c>
      <c r="F15" s="128">
        <f t="shared" si="4"/>
        <v>3000</v>
      </c>
      <c r="G15" s="128">
        <f t="shared" si="4"/>
        <v>770</v>
      </c>
      <c r="H15" s="128">
        <f t="shared" si="4"/>
        <v>1840</v>
      </c>
      <c r="I15" s="128">
        <f t="shared" si="4"/>
        <v>3600</v>
      </c>
      <c r="J15" s="128">
        <f t="shared" si="4"/>
        <v>5000</v>
      </c>
      <c r="K15" s="89"/>
      <c r="L15" s="47"/>
      <c r="M15" s="47"/>
    </row>
    <row r="16" spans="1:13">
      <c r="A16" s="127" t="s">
        <v>85</v>
      </c>
      <c r="B16" s="128">
        <f t="shared" si="4"/>
        <v>1080</v>
      </c>
      <c r="C16" s="128">
        <f t="shared" si="4"/>
        <v>900</v>
      </c>
      <c r="D16" s="128">
        <f t="shared" si="4"/>
        <v>570</v>
      </c>
      <c r="E16" s="128">
        <f t="shared" si="4"/>
        <v>760</v>
      </c>
      <c r="F16" s="128">
        <f t="shared" si="4"/>
        <v>600</v>
      </c>
      <c r="G16" s="128">
        <f t="shared" si="4"/>
        <v>630</v>
      </c>
      <c r="H16" s="128">
        <f t="shared" si="4"/>
        <v>1680</v>
      </c>
      <c r="I16" s="128">
        <f t="shared" si="4"/>
        <v>1100</v>
      </c>
      <c r="J16" s="128">
        <f t="shared" si="4"/>
        <v>2070</v>
      </c>
      <c r="K16" s="89"/>
      <c r="L16" s="47"/>
      <c r="M16" s="47"/>
    </row>
    <row r="17" spans="1:13">
      <c r="A17" s="127" t="s">
        <v>86</v>
      </c>
      <c r="B17" s="128">
        <f t="shared" si="4"/>
        <v>1400</v>
      </c>
      <c r="C17" s="128">
        <f t="shared" si="4"/>
        <v>880</v>
      </c>
      <c r="D17" s="128">
        <f t="shared" si="4"/>
        <v>880</v>
      </c>
      <c r="E17" s="128">
        <f t="shared" si="4"/>
        <v>1200</v>
      </c>
      <c r="F17" s="128">
        <f t="shared" si="4"/>
        <v>1000</v>
      </c>
      <c r="G17" s="128">
        <f t="shared" si="4"/>
        <v>1170</v>
      </c>
      <c r="H17" s="128">
        <f t="shared" si="4"/>
        <v>2160</v>
      </c>
      <c r="I17" s="128">
        <f t="shared" si="4"/>
        <v>5600</v>
      </c>
      <c r="J17" s="128">
        <f t="shared" si="4"/>
        <v>4500</v>
      </c>
      <c r="K17" s="89"/>
      <c r="L17" s="47"/>
      <c r="M17" s="47"/>
    </row>
    <row r="18" spans="1:13" ht="30">
      <c r="A18" s="129" t="s">
        <v>151</v>
      </c>
      <c r="B18" s="128">
        <f t="shared" si="4"/>
        <v>1280</v>
      </c>
      <c r="C18" s="128">
        <f t="shared" si="4"/>
        <v>700</v>
      </c>
      <c r="D18" s="128">
        <f t="shared" si="4"/>
        <v>640</v>
      </c>
      <c r="E18" s="128">
        <f t="shared" si="4"/>
        <v>600</v>
      </c>
      <c r="F18" s="128">
        <f t="shared" si="4"/>
        <v>650</v>
      </c>
      <c r="G18" s="128">
        <f t="shared" si="4"/>
        <v>1960</v>
      </c>
      <c r="H18" s="128">
        <f t="shared" si="4"/>
        <v>1280</v>
      </c>
      <c r="I18" s="128">
        <f t="shared" si="4"/>
        <v>1190</v>
      </c>
      <c r="J18" s="128">
        <f t="shared" si="4"/>
        <v>2160</v>
      </c>
      <c r="K18" s="89"/>
      <c r="L18" s="47"/>
      <c r="M18" s="47"/>
    </row>
    <row r="19" spans="1:13">
      <c r="A19" s="127" t="s">
        <v>87</v>
      </c>
      <c r="B19" s="128">
        <f t="shared" si="4"/>
        <v>1200</v>
      </c>
      <c r="C19" s="128">
        <f t="shared" si="4"/>
        <v>1440</v>
      </c>
      <c r="D19" s="128">
        <f t="shared" si="4"/>
        <v>1540</v>
      </c>
      <c r="E19" s="128">
        <f t="shared" si="4"/>
        <v>1400</v>
      </c>
      <c r="F19" s="128">
        <f t="shared" si="4"/>
        <v>2400</v>
      </c>
      <c r="G19" s="128">
        <f t="shared" si="4"/>
        <v>1440</v>
      </c>
      <c r="H19" s="128">
        <f t="shared" si="4"/>
        <v>1000</v>
      </c>
      <c r="I19" s="128">
        <f t="shared" si="4"/>
        <v>2200</v>
      </c>
      <c r="J19" s="128">
        <f t="shared" si="4"/>
        <v>2300</v>
      </c>
      <c r="K19" s="89"/>
      <c r="L19" s="47"/>
      <c r="M19" s="47"/>
    </row>
    <row r="20" spans="1:13">
      <c r="A20" s="127" t="s">
        <v>85</v>
      </c>
      <c r="B20" s="128">
        <f t="shared" si="4"/>
        <v>1200</v>
      </c>
      <c r="C20" s="128">
        <f t="shared" si="4"/>
        <v>1500</v>
      </c>
      <c r="D20" s="128">
        <f t="shared" si="4"/>
        <v>2340</v>
      </c>
      <c r="E20" s="128">
        <f t="shared" si="4"/>
        <v>1200</v>
      </c>
      <c r="F20" s="128">
        <f t="shared" si="4"/>
        <v>2100</v>
      </c>
      <c r="G20" s="128">
        <f t="shared" si="4"/>
        <v>2250</v>
      </c>
      <c r="H20" s="128">
        <f t="shared" si="4"/>
        <v>1280</v>
      </c>
      <c r="I20" s="128">
        <f t="shared" si="4"/>
        <v>2700</v>
      </c>
      <c r="J20" s="128">
        <f t="shared" si="4"/>
        <v>1900</v>
      </c>
      <c r="K20" s="89"/>
      <c r="L20" s="47"/>
      <c r="M20" s="47"/>
    </row>
    <row r="21" spans="1:13">
      <c r="A21" s="127" t="s">
        <v>86</v>
      </c>
      <c r="B21" s="128">
        <f t="shared" si="4"/>
        <v>1080</v>
      </c>
      <c r="C21" s="128">
        <f t="shared" si="4"/>
        <v>1400</v>
      </c>
      <c r="D21" s="128">
        <f t="shared" si="4"/>
        <v>1900</v>
      </c>
      <c r="E21" s="128">
        <f t="shared" si="4"/>
        <v>1360</v>
      </c>
      <c r="F21" s="128">
        <f t="shared" si="4"/>
        <v>2700</v>
      </c>
      <c r="G21" s="128">
        <f t="shared" si="4"/>
        <v>2000</v>
      </c>
      <c r="H21" s="128">
        <f t="shared" si="4"/>
        <v>1470</v>
      </c>
      <c r="I21" s="128">
        <f t="shared" si="4"/>
        <v>1100</v>
      </c>
      <c r="J21" s="128">
        <f t="shared" si="4"/>
        <v>2300</v>
      </c>
      <c r="K21" s="89"/>
      <c r="L21" s="47"/>
      <c r="M21" s="47"/>
    </row>
    <row r="22" spans="1:13">
      <c r="A22" s="129" t="s">
        <v>83</v>
      </c>
      <c r="B22" s="128">
        <f t="shared" si="4"/>
        <v>720</v>
      </c>
      <c r="C22" s="128">
        <f t="shared" si="4"/>
        <v>350</v>
      </c>
      <c r="D22" s="128">
        <f t="shared" si="4"/>
        <v>720</v>
      </c>
      <c r="E22" s="128">
        <f t="shared" si="4"/>
        <v>810</v>
      </c>
      <c r="F22" s="128">
        <f t="shared" si="4"/>
        <v>2400</v>
      </c>
      <c r="G22" s="128">
        <f t="shared" si="4"/>
        <v>2800</v>
      </c>
      <c r="H22" s="128">
        <f t="shared" si="4"/>
        <v>1350</v>
      </c>
      <c r="I22" s="128">
        <f t="shared" si="4"/>
        <v>500</v>
      </c>
      <c r="J22" s="128">
        <f t="shared" si="4"/>
        <v>3300</v>
      </c>
      <c r="K22" s="89"/>
      <c r="L22" s="47"/>
      <c r="M22" s="47"/>
    </row>
    <row r="23" spans="1:13">
      <c r="A23" s="130" t="s">
        <v>54</v>
      </c>
      <c r="B23" s="128">
        <f t="shared" si="4"/>
        <v>0</v>
      </c>
      <c r="C23" s="128">
        <f t="shared" si="4"/>
        <v>0</v>
      </c>
      <c r="D23" s="128">
        <f t="shared" si="4"/>
        <v>0</v>
      </c>
      <c r="E23" s="128">
        <f t="shared" si="4"/>
        <v>0</v>
      </c>
      <c r="F23" s="128">
        <f t="shared" si="4"/>
        <v>0</v>
      </c>
      <c r="G23" s="128">
        <f t="shared" si="4"/>
        <v>0</v>
      </c>
      <c r="H23" s="128">
        <f t="shared" si="4"/>
        <v>0</v>
      </c>
      <c r="I23" s="128">
        <f t="shared" si="4"/>
        <v>0</v>
      </c>
      <c r="J23" s="128">
        <f t="shared" si="4"/>
        <v>0</v>
      </c>
      <c r="K23" s="89"/>
      <c r="L23" s="47"/>
      <c r="M23" s="47"/>
    </row>
    <row r="24" spans="1:13">
      <c r="A24" s="129" t="s">
        <v>6</v>
      </c>
      <c r="B24" s="128">
        <f t="shared" si="4"/>
        <v>180</v>
      </c>
      <c r="C24" s="128">
        <f t="shared" si="4"/>
        <v>160</v>
      </c>
      <c r="D24" s="128">
        <f t="shared" si="4"/>
        <v>180</v>
      </c>
      <c r="E24" s="128">
        <f t="shared" si="4"/>
        <v>390</v>
      </c>
      <c r="F24" s="128">
        <f t="shared" si="4"/>
        <v>240</v>
      </c>
      <c r="G24" s="128">
        <f t="shared" si="4"/>
        <v>200</v>
      </c>
      <c r="H24" s="128">
        <f t="shared" si="4"/>
        <v>400</v>
      </c>
      <c r="I24" s="128">
        <f t="shared" si="4"/>
        <v>200</v>
      </c>
      <c r="J24" s="128">
        <f t="shared" si="4"/>
        <v>600</v>
      </c>
      <c r="K24" s="89"/>
      <c r="L24" s="47"/>
      <c r="M24" s="47"/>
    </row>
    <row r="25" spans="1:13">
      <c r="A25" s="129" t="s">
        <v>156</v>
      </c>
      <c r="B25" s="128">
        <f>SUM(B10:B24)</f>
        <v>18680</v>
      </c>
      <c r="C25" s="128">
        <f>SUM(C10:C24)</f>
        <v>15060</v>
      </c>
      <c r="D25" s="128">
        <f t="shared" ref="D25:J25" si="5">SUM(D10:D24)</f>
        <v>16940</v>
      </c>
      <c r="E25" s="128">
        <f t="shared" si="5"/>
        <v>20670</v>
      </c>
      <c r="F25" s="128">
        <f t="shared" si="5"/>
        <v>58420</v>
      </c>
      <c r="G25" s="128">
        <f t="shared" si="5"/>
        <v>38600</v>
      </c>
      <c r="H25" s="128">
        <f t="shared" si="5"/>
        <v>54880</v>
      </c>
      <c r="I25" s="128">
        <f t="shared" si="5"/>
        <v>50740</v>
      </c>
      <c r="J25" s="128">
        <f t="shared" si="5"/>
        <v>79340</v>
      </c>
      <c r="K25" s="89"/>
      <c r="L25" s="47"/>
      <c r="M25" s="47"/>
    </row>
    <row r="26" spans="1:13">
      <c r="A26" s="103" t="s">
        <v>172</v>
      </c>
      <c r="B26" s="68"/>
      <c r="C26" s="68"/>
      <c r="D26" s="47"/>
      <c r="E26" s="47"/>
      <c r="F26" s="47"/>
      <c r="G26" s="47"/>
      <c r="H26" s="47"/>
      <c r="I26" s="47"/>
      <c r="J26" s="47"/>
      <c r="K26" s="47"/>
      <c r="L26" s="47"/>
      <c r="M26" s="47"/>
    </row>
    <row r="27" spans="1:13">
      <c r="A27" s="67" t="s">
        <v>19</v>
      </c>
      <c r="B27" s="67" t="s">
        <v>164</v>
      </c>
      <c r="C27" s="67" t="s">
        <v>165</v>
      </c>
      <c r="D27" s="67" t="s">
        <v>166</v>
      </c>
      <c r="E27" s="67" t="s">
        <v>167</v>
      </c>
      <c r="F27" s="67" t="s">
        <v>168</v>
      </c>
      <c r="G27" s="67" t="s">
        <v>169</v>
      </c>
      <c r="H27" s="67" t="s">
        <v>2</v>
      </c>
      <c r="I27" s="67" t="s">
        <v>170</v>
      </c>
      <c r="J27" s="67" t="s">
        <v>171</v>
      </c>
      <c r="K27" s="47"/>
      <c r="L27" s="47"/>
      <c r="M27" s="47"/>
    </row>
    <row r="28" spans="1:13">
      <c r="A28" s="71" t="s">
        <v>11</v>
      </c>
      <c r="B28" s="131">
        <v>17.5</v>
      </c>
      <c r="C28" s="131">
        <v>21</v>
      </c>
      <c r="D28" s="131">
        <v>16.5</v>
      </c>
      <c r="E28" s="131">
        <v>21</v>
      </c>
      <c r="F28" s="131">
        <v>18.5</v>
      </c>
      <c r="G28" s="131">
        <v>20</v>
      </c>
      <c r="H28" s="131">
        <v>21</v>
      </c>
      <c r="I28" s="131">
        <v>20.5</v>
      </c>
      <c r="J28" s="131">
        <v>21</v>
      </c>
      <c r="K28" s="47"/>
      <c r="L28" s="47"/>
      <c r="M28" s="47"/>
    </row>
    <row r="29" spans="1:13">
      <c r="A29" s="71" t="s">
        <v>12</v>
      </c>
      <c r="B29" s="131">
        <v>18</v>
      </c>
      <c r="C29" s="131">
        <v>17</v>
      </c>
      <c r="D29" s="131">
        <v>19.5</v>
      </c>
      <c r="E29" s="131">
        <v>18</v>
      </c>
      <c r="F29" s="131">
        <v>22</v>
      </c>
      <c r="G29" s="131">
        <v>23</v>
      </c>
      <c r="H29" s="131">
        <v>24</v>
      </c>
      <c r="I29" s="131">
        <v>24</v>
      </c>
      <c r="J29" s="131">
        <v>25</v>
      </c>
      <c r="K29" s="47"/>
      <c r="L29" s="47"/>
      <c r="M29" s="47"/>
    </row>
    <row r="30" spans="1:13">
      <c r="A30" s="71" t="s">
        <v>13</v>
      </c>
      <c r="B30" s="131">
        <v>190</v>
      </c>
      <c r="C30" s="131">
        <v>205</v>
      </c>
      <c r="D30" s="131">
        <v>225</v>
      </c>
      <c r="E30" s="131">
        <v>200</v>
      </c>
      <c r="F30" s="131">
        <v>220</v>
      </c>
      <c r="G30" s="131">
        <v>205</v>
      </c>
      <c r="H30" s="131">
        <v>300</v>
      </c>
      <c r="I30" s="131">
        <v>280</v>
      </c>
      <c r="J30" s="131">
        <v>300</v>
      </c>
      <c r="K30" s="47"/>
      <c r="L30" s="47"/>
      <c r="M30" s="47"/>
    </row>
    <row r="31" spans="1:13">
      <c r="A31" s="71" t="s">
        <v>14</v>
      </c>
      <c r="B31" s="131">
        <v>320</v>
      </c>
      <c r="C31" s="131">
        <v>330</v>
      </c>
      <c r="D31" s="131">
        <v>385</v>
      </c>
      <c r="E31" s="131">
        <v>380</v>
      </c>
      <c r="F31" s="131">
        <v>340</v>
      </c>
      <c r="G31" s="131">
        <v>410</v>
      </c>
      <c r="H31" s="131">
        <v>450</v>
      </c>
      <c r="I31" s="131">
        <v>480</v>
      </c>
      <c r="J31" s="131">
        <v>475</v>
      </c>
      <c r="K31" s="47"/>
      <c r="L31" s="47"/>
      <c r="M31" s="47"/>
    </row>
    <row r="32" spans="1:13" ht="30">
      <c r="A32" s="72" t="s">
        <v>15</v>
      </c>
      <c r="B32" s="131">
        <v>100</v>
      </c>
      <c r="C32" s="131"/>
      <c r="D32" s="131"/>
      <c r="E32" s="131">
        <v>97</v>
      </c>
      <c r="F32" s="131">
        <v>105</v>
      </c>
      <c r="G32" s="131">
        <v>100</v>
      </c>
      <c r="H32" s="131">
        <v>100</v>
      </c>
      <c r="I32" s="131">
        <v>110</v>
      </c>
      <c r="J32" s="131">
        <v>120</v>
      </c>
      <c r="K32" s="47"/>
      <c r="L32" s="47"/>
      <c r="M32" s="47"/>
    </row>
    <row r="33" spans="1:13" ht="30">
      <c r="A33" s="72" t="s">
        <v>16</v>
      </c>
      <c r="B33" s="131">
        <v>110</v>
      </c>
      <c r="C33" s="131">
        <v>120</v>
      </c>
      <c r="D33" s="131">
        <v>100</v>
      </c>
      <c r="E33" s="131">
        <v>140</v>
      </c>
      <c r="F33" s="131">
        <v>155</v>
      </c>
      <c r="G33" s="131">
        <v>115</v>
      </c>
      <c r="H33" s="131">
        <v>160</v>
      </c>
      <c r="I33" s="131">
        <v>140</v>
      </c>
      <c r="J33" s="131">
        <v>150</v>
      </c>
      <c r="K33" s="47"/>
      <c r="L33" s="47"/>
      <c r="M33" s="47"/>
    </row>
    <row r="34" spans="1:13">
      <c r="A34" s="71" t="s">
        <v>85</v>
      </c>
      <c r="B34" s="131">
        <v>125</v>
      </c>
      <c r="C34" s="131">
        <v>133</v>
      </c>
      <c r="D34" s="131">
        <v>115</v>
      </c>
      <c r="E34" s="131">
        <v>140</v>
      </c>
      <c r="F34" s="131">
        <v>125</v>
      </c>
      <c r="G34" s="131">
        <v>120</v>
      </c>
      <c r="H34" s="131">
        <v>160</v>
      </c>
      <c r="I34" s="131">
        <v>135</v>
      </c>
      <c r="J34" s="131">
        <v>135</v>
      </c>
      <c r="K34" s="47"/>
      <c r="L34" s="47"/>
      <c r="M34" s="47"/>
    </row>
    <row r="35" spans="1:13">
      <c r="A35" s="71" t="s">
        <v>86</v>
      </c>
      <c r="B35" s="131">
        <v>95</v>
      </c>
      <c r="C35" s="131">
        <v>100</v>
      </c>
      <c r="D35" s="131">
        <v>90</v>
      </c>
      <c r="E35" s="131">
        <v>115</v>
      </c>
      <c r="F35" s="131">
        <v>105</v>
      </c>
      <c r="G35" s="131">
        <v>100</v>
      </c>
      <c r="H35" s="131">
        <v>130</v>
      </c>
      <c r="I35" s="131">
        <v>125</v>
      </c>
      <c r="J35" s="131">
        <v>135</v>
      </c>
      <c r="K35" s="47"/>
      <c r="L35" s="47"/>
      <c r="M35" s="47"/>
    </row>
    <row r="36" spans="1:13" ht="30">
      <c r="A36" s="72" t="s">
        <v>151</v>
      </c>
      <c r="B36" s="131">
        <v>145</v>
      </c>
      <c r="C36" s="131">
        <v>140</v>
      </c>
      <c r="D36" s="131">
        <v>155</v>
      </c>
      <c r="E36" s="131">
        <v>155</v>
      </c>
      <c r="F36" s="131">
        <v>140</v>
      </c>
      <c r="G36" s="131">
        <v>145</v>
      </c>
      <c r="H36" s="131">
        <v>150</v>
      </c>
      <c r="I36" s="131">
        <v>145</v>
      </c>
      <c r="J36" s="131">
        <v>155</v>
      </c>
      <c r="K36" s="47"/>
      <c r="L36" s="47"/>
      <c r="M36" s="47"/>
    </row>
    <row r="37" spans="1:13">
      <c r="A37" s="71" t="s">
        <v>87</v>
      </c>
      <c r="B37" s="131">
        <v>35</v>
      </c>
      <c r="C37" s="131">
        <v>42</v>
      </c>
      <c r="D37" s="131">
        <v>35</v>
      </c>
      <c r="E37" s="131">
        <v>43</v>
      </c>
      <c r="F37" s="131">
        <v>45</v>
      </c>
      <c r="G37" s="131">
        <v>37</v>
      </c>
      <c r="H37" s="131">
        <v>35</v>
      </c>
      <c r="I37" s="131">
        <v>38</v>
      </c>
      <c r="J37" s="131">
        <v>35</v>
      </c>
      <c r="K37" s="47"/>
      <c r="L37" s="47"/>
      <c r="M37" s="47"/>
    </row>
    <row r="38" spans="1:13">
      <c r="A38" s="71" t="s">
        <v>85</v>
      </c>
      <c r="B38" s="131">
        <v>150</v>
      </c>
      <c r="C38" s="131">
        <v>160</v>
      </c>
      <c r="D38" s="131">
        <v>150</v>
      </c>
      <c r="E38" s="131">
        <v>165</v>
      </c>
      <c r="F38" s="131">
        <v>165</v>
      </c>
      <c r="G38" s="131">
        <v>170</v>
      </c>
      <c r="H38" s="131">
        <v>130</v>
      </c>
      <c r="I38" s="131">
        <v>145</v>
      </c>
      <c r="J38" s="131">
        <v>170</v>
      </c>
      <c r="K38" s="47"/>
      <c r="L38" s="47"/>
      <c r="M38" s="47"/>
    </row>
    <row r="39" spans="1:13">
      <c r="A39" s="71" t="s">
        <v>86</v>
      </c>
      <c r="B39" s="131">
        <v>135</v>
      </c>
      <c r="C39" s="131">
        <v>120</v>
      </c>
      <c r="D39" s="131">
        <v>135</v>
      </c>
      <c r="E39" s="131">
        <v>140</v>
      </c>
      <c r="F39" s="131">
        <v>138</v>
      </c>
      <c r="G39" s="131">
        <v>140</v>
      </c>
      <c r="H39" s="131">
        <v>120</v>
      </c>
      <c r="I39" s="131">
        <v>130</v>
      </c>
      <c r="J39" s="131">
        <v>130</v>
      </c>
      <c r="K39" s="47"/>
      <c r="L39" s="47"/>
      <c r="M39" s="47"/>
    </row>
    <row r="40" spans="1:13">
      <c r="A40" s="72" t="s">
        <v>83</v>
      </c>
      <c r="B40" s="131">
        <v>10</v>
      </c>
      <c r="C40" s="131">
        <v>25</v>
      </c>
      <c r="D40" s="131">
        <v>33</v>
      </c>
      <c r="E40" s="131">
        <v>20</v>
      </c>
      <c r="F40" s="131">
        <v>23</v>
      </c>
      <c r="G40" s="131">
        <v>25</v>
      </c>
      <c r="H40" s="131">
        <v>32</v>
      </c>
      <c r="I40" s="131">
        <v>30</v>
      </c>
      <c r="J40" s="131">
        <v>32</v>
      </c>
      <c r="K40" s="47"/>
      <c r="L40" s="47"/>
      <c r="M40" s="47"/>
    </row>
    <row r="41" spans="1:13">
      <c r="A41" s="72" t="s">
        <v>54</v>
      </c>
      <c r="B41" s="131">
        <v>48</v>
      </c>
      <c r="C41" s="131">
        <v>45</v>
      </c>
      <c r="D41" s="131">
        <v>52</v>
      </c>
      <c r="E41" s="131">
        <v>50</v>
      </c>
      <c r="F41" s="131">
        <v>52</v>
      </c>
      <c r="G41" s="131">
        <v>53</v>
      </c>
      <c r="H41" s="131">
        <v>55</v>
      </c>
      <c r="I41" s="131">
        <v>48</v>
      </c>
      <c r="J41" s="131">
        <v>55</v>
      </c>
      <c r="K41" s="47"/>
      <c r="L41" s="47"/>
      <c r="M41" s="47"/>
    </row>
    <row r="42" spans="1:13">
      <c r="A42" s="72" t="s">
        <v>6</v>
      </c>
      <c r="B42" s="131">
        <v>105</v>
      </c>
      <c r="C42" s="131">
        <v>120</v>
      </c>
      <c r="D42" s="131">
        <v>160</v>
      </c>
      <c r="E42" s="131">
        <v>120</v>
      </c>
      <c r="F42" s="131">
        <v>180</v>
      </c>
      <c r="G42" s="131">
        <v>110</v>
      </c>
      <c r="H42" s="131">
        <v>180</v>
      </c>
      <c r="I42" s="131">
        <v>200</v>
      </c>
      <c r="J42" s="131">
        <v>170</v>
      </c>
      <c r="K42" s="47"/>
      <c r="L42" s="47"/>
      <c r="M42" s="47"/>
    </row>
    <row r="43" spans="1:13">
      <c r="A43" s="103" t="s">
        <v>173</v>
      </c>
      <c r="B43" s="68"/>
      <c r="C43" s="68"/>
      <c r="D43" s="47"/>
      <c r="E43" s="47"/>
      <c r="F43" s="73"/>
      <c r="G43" s="47"/>
      <c r="H43" s="47"/>
      <c r="I43" s="47"/>
      <c r="J43" s="47"/>
      <c r="K43" s="47"/>
      <c r="L43" s="47"/>
      <c r="M43" s="47"/>
    </row>
    <row r="44" spans="1:13">
      <c r="A44" s="67" t="s">
        <v>19</v>
      </c>
      <c r="B44" s="67" t="s">
        <v>164</v>
      </c>
      <c r="C44" s="67" t="s">
        <v>165</v>
      </c>
      <c r="D44" s="67" t="s">
        <v>166</v>
      </c>
      <c r="E44" s="67" t="s">
        <v>167</v>
      </c>
      <c r="F44" s="67" t="s">
        <v>168</v>
      </c>
      <c r="G44" s="67" t="s">
        <v>169</v>
      </c>
      <c r="H44" s="67" t="s">
        <v>2</v>
      </c>
      <c r="I44" s="67" t="s">
        <v>170</v>
      </c>
      <c r="J44" s="67" t="s">
        <v>171</v>
      </c>
      <c r="K44" s="47"/>
      <c r="L44" s="47"/>
      <c r="M44" s="47"/>
    </row>
    <row r="45" spans="1:13">
      <c r="A45" s="74" t="s">
        <v>11</v>
      </c>
      <c r="B45" s="131">
        <v>14</v>
      </c>
      <c r="C45" s="131">
        <v>16</v>
      </c>
      <c r="D45" s="131">
        <v>17</v>
      </c>
      <c r="E45" s="131">
        <v>18</v>
      </c>
      <c r="F45" s="131">
        <v>20</v>
      </c>
      <c r="G45" s="131">
        <v>21</v>
      </c>
      <c r="H45" s="131">
        <v>20</v>
      </c>
      <c r="I45" s="131">
        <v>22</v>
      </c>
      <c r="J45" s="131">
        <v>25</v>
      </c>
      <c r="K45" s="47"/>
      <c r="L45" s="47"/>
      <c r="M45" s="47"/>
    </row>
    <row r="46" spans="1:13">
      <c r="A46" s="74" t="s">
        <v>12</v>
      </c>
      <c r="B46" s="131">
        <v>14</v>
      </c>
      <c r="C46" s="131">
        <v>15</v>
      </c>
      <c r="D46" s="131">
        <v>16</v>
      </c>
      <c r="E46" s="131">
        <v>17</v>
      </c>
      <c r="F46" s="131">
        <v>19</v>
      </c>
      <c r="G46" s="131">
        <v>19</v>
      </c>
      <c r="H46" s="131">
        <v>21</v>
      </c>
      <c r="I46" s="131">
        <v>23</v>
      </c>
      <c r="J46" s="131">
        <v>24</v>
      </c>
      <c r="K46" s="47"/>
      <c r="L46" s="47"/>
      <c r="M46" s="47"/>
    </row>
    <row r="47" spans="1:13">
      <c r="A47" s="74" t="s">
        <v>13</v>
      </c>
      <c r="B47" s="131">
        <v>200</v>
      </c>
      <c r="C47" s="131">
        <v>250</v>
      </c>
      <c r="D47" s="131">
        <v>230</v>
      </c>
      <c r="E47" s="131">
        <v>310</v>
      </c>
      <c r="F47" s="131">
        <v>380</v>
      </c>
      <c r="G47" s="131">
        <v>400</v>
      </c>
      <c r="H47" s="131">
        <v>420</v>
      </c>
      <c r="I47" s="131">
        <v>440</v>
      </c>
      <c r="J47" s="131">
        <v>450</v>
      </c>
      <c r="K47" s="47"/>
      <c r="L47" s="47"/>
      <c r="M47" s="47"/>
    </row>
    <row r="48" spans="1:13">
      <c r="A48" s="74" t="s">
        <v>14</v>
      </c>
      <c r="B48" s="131">
        <v>300</v>
      </c>
      <c r="C48" s="131">
        <v>330</v>
      </c>
      <c r="D48" s="131">
        <v>350</v>
      </c>
      <c r="E48" s="131">
        <v>340</v>
      </c>
      <c r="F48" s="131">
        <v>400</v>
      </c>
      <c r="G48" s="131">
        <v>420</v>
      </c>
      <c r="H48" s="131">
        <v>450</v>
      </c>
      <c r="I48" s="131">
        <v>460</v>
      </c>
      <c r="J48" s="131">
        <v>470</v>
      </c>
      <c r="K48" s="47"/>
      <c r="L48" s="47"/>
      <c r="M48" s="47"/>
    </row>
    <row r="49" spans="1:13" ht="30">
      <c r="A49" s="75" t="s">
        <v>15</v>
      </c>
      <c r="B49" s="131">
        <v>15</v>
      </c>
      <c r="C49" s="131"/>
      <c r="D49" s="131"/>
      <c r="E49" s="131">
        <v>18</v>
      </c>
      <c r="F49" s="131">
        <v>21</v>
      </c>
      <c r="G49" s="131">
        <v>22</v>
      </c>
      <c r="H49" s="131">
        <v>22</v>
      </c>
      <c r="I49" s="131">
        <v>23</v>
      </c>
      <c r="J49" s="131">
        <v>24</v>
      </c>
      <c r="K49" s="47"/>
      <c r="L49" s="47"/>
      <c r="M49" s="47"/>
    </row>
    <row r="50" spans="1:13" ht="30">
      <c r="A50" s="75" t="s">
        <v>16</v>
      </c>
      <c r="B50" s="131">
        <v>15</v>
      </c>
      <c r="C50" s="131">
        <v>17</v>
      </c>
      <c r="D50" s="131">
        <v>18</v>
      </c>
      <c r="E50" s="131">
        <v>20</v>
      </c>
      <c r="F50" s="131">
        <v>20</v>
      </c>
      <c r="G50" s="131">
        <v>22</v>
      </c>
      <c r="H50" s="131">
        <v>23</v>
      </c>
      <c r="I50" s="131">
        <v>24</v>
      </c>
      <c r="J50" s="131">
        <v>25</v>
      </c>
      <c r="K50" s="47"/>
      <c r="L50" s="47"/>
      <c r="M50" s="47"/>
    </row>
    <row r="51" spans="1:13">
      <c r="A51" s="74" t="s">
        <v>85</v>
      </c>
      <c r="B51" s="131">
        <v>18</v>
      </c>
      <c r="C51" s="131">
        <v>18</v>
      </c>
      <c r="D51" s="131">
        <v>19</v>
      </c>
      <c r="E51" s="131">
        <v>19</v>
      </c>
      <c r="F51" s="131">
        <v>20</v>
      </c>
      <c r="G51" s="131">
        <v>21</v>
      </c>
      <c r="H51" s="131">
        <v>21</v>
      </c>
      <c r="I51" s="131">
        <v>22</v>
      </c>
      <c r="J51" s="131">
        <v>23</v>
      </c>
      <c r="K51" s="47"/>
      <c r="L51" s="47"/>
      <c r="M51" s="47"/>
    </row>
    <row r="52" spans="1:13">
      <c r="A52" s="74" t="s">
        <v>86</v>
      </c>
      <c r="B52" s="131">
        <v>20</v>
      </c>
      <c r="C52" s="131">
        <v>22</v>
      </c>
      <c r="D52" s="131">
        <v>22</v>
      </c>
      <c r="E52" s="131">
        <v>24</v>
      </c>
      <c r="F52" s="131">
        <v>25</v>
      </c>
      <c r="G52" s="131">
        <v>26</v>
      </c>
      <c r="H52" s="131">
        <v>27</v>
      </c>
      <c r="I52" s="131">
        <v>28</v>
      </c>
      <c r="J52" s="131">
        <v>30</v>
      </c>
      <c r="K52" s="47"/>
      <c r="L52" s="47"/>
      <c r="M52" s="47"/>
    </row>
    <row r="53" spans="1:13" ht="30">
      <c r="A53" s="75" t="s">
        <v>151</v>
      </c>
      <c r="B53" s="131">
        <v>8</v>
      </c>
      <c r="C53" s="131">
        <v>10</v>
      </c>
      <c r="D53" s="131">
        <v>8</v>
      </c>
      <c r="E53" s="131">
        <v>12</v>
      </c>
      <c r="F53" s="131">
        <v>13</v>
      </c>
      <c r="G53" s="131">
        <v>14</v>
      </c>
      <c r="H53" s="131">
        <v>16</v>
      </c>
      <c r="I53" s="131">
        <v>17</v>
      </c>
      <c r="J53" s="131">
        <v>18</v>
      </c>
      <c r="K53" s="47"/>
      <c r="L53" s="47"/>
      <c r="M53" s="47"/>
    </row>
    <row r="54" spans="1:13">
      <c r="A54" s="74" t="s">
        <v>87</v>
      </c>
      <c r="B54" s="131">
        <v>10</v>
      </c>
      <c r="C54" s="131">
        <v>12</v>
      </c>
      <c r="D54" s="131">
        <v>14</v>
      </c>
      <c r="E54" s="131">
        <v>14</v>
      </c>
      <c r="F54" s="131">
        <v>16</v>
      </c>
      <c r="G54" s="131">
        <v>18</v>
      </c>
      <c r="H54" s="131">
        <v>20</v>
      </c>
      <c r="I54" s="131">
        <v>22</v>
      </c>
      <c r="J54" s="131">
        <v>23</v>
      </c>
      <c r="K54" s="47"/>
      <c r="L54" s="47"/>
      <c r="M54" s="47"/>
    </row>
    <row r="55" spans="1:13">
      <c r="A55" s="74" t="s">
        <v>85</v>
      </c>
      <c r="B55" s="131">
        <v>8</v>
      </c>
      <c r="C55" s="131">
        <v>10</v>
      </c>
      <c r="D55" s="131">
        <v>13</v>
      </c>
      <c r="E55" s="131">
        <v>10</v>
      </c>
      <c r="F55" s="131">
        <v>14</v>
      </c>
      <c r="G55" s="131">
        <v>15</v>
      </c>
      <c r="H55" s="131">
        <v>16</v>
      </c>
      <c r="I55" s="131">
        <v>18</v>
      </c>
      <c r="J55" s="131">
        <v>19</v>
      </c>
      <c r="K55" s="47"/>
      <c r="L55" s="47"/>
      <c r="M55" s="47"/>
    </row>
    <row r="56" spans="1:13">
      <c r="A56" s="74" t="s">
        <v>86</v>
      </c>
      <c r="B56" s="131">
        <v>12</v>
      </c>
      <c r="C56" s="131">
        <v>14</v>
      </c>
      <c r="D56" s="131">
        <v>19</v>
      </c>
      <c r="E56" s="131">
        <v>17</v>
      </c>
      <c r="F56" s="131">
        <v>18</v>
      </c>
      <c r="G56" s="131">
        <v>20</v>
      </c>
      <c r="H56" s="131">
        <v>21</v>
      </c>
      <c r="I56" s="131">
        <v>22</v>
      </c>
      <c r="J56" s="131">
        <v>23</v>
      </c>
      <c r="K56" s="47"/>
      <c r="L56" s="47"/>
      <c r="M56" s="47"/>
    </row>
    <row r="57" spans="1:13">
      <c r="A57" s="75" t="s">
        <v>83</v>
      </c>
      <c r="B57" s="131">
        <v>8</v>
      </c>
      <c r="C57" s="131">
        <v>7</v>
      </c>
      <c r="D57" s="131">
        <v>8</v>
      </c>
      <c r="E57" s="131">
        <v>9</v>
      </c>
      <c r="F57" s="131">
        <v>8</v>
      </c>
      <c r="G57" s="131">
        <v>7</v>
      </c>
      <c r="H57" s="131">
        <v>9</v>
      </c>
      <c r="I57" s="131">
        <v>10</v>
      </c>
      <c r="J57" s="131">
        <v>11</v>
      </c>
      <c r="K57" s="47"/>
      <c r="L57" s="47"/>
      <c r="M57" s="47"/>
    </row>
    <row r="58" spans="1:13">
      <c r="A58" s="75" t="s">
        <v>54</v>
      </c>
      <c r="B58" s="131"/>
      <c r="C58" s="131"/>
      <c r="D58" s="131"/>
      <c r="E58" s="131"/>
      <c r="F58" s="131"/>
      <c r="G58" s="131"/>
      <c r="H58" s="131"/>
      <c r="I58" s="131"/>
      <c r="J58" s="131"/>
      <c r="K58" s="47"/>
      <c r="L58" s="47"/>
      <c r="M58" s="47"/>
    </row>
    <row r="59" spans="1:13">
      <c r="A59" s="75" t="s">
        <v>6</v>
      </c>
      <c r="B59" s="131">
        <v>3</v>
      </c>
      <c r="C59" s="131">
        <v>2</v>
      </c>
      <c r="D59" s="131">
        <v>3</v>
      </c>
      <c r="E59" s="131">
        <v>3</v>
      </c>
      <c r="F59" s="131">
        <v>3</v>
      </c>
      <c r="G59" s="131">
        <v>4</v>
      </c>
      <c r="H59" s="131">
        <v>4</v>
      </c>
      <c r="I59" s="131">
        <v>4</v>
      </c>
      <c r="J59" s="131">
        <v>4</v>
      </c>
      <c r="K59" s="47"/>
      <c r="L59" s="47"/>
      <c r="M59" s="47"/>
    </row>
    <row r="60" spans="1:13">
      <c r="A60" s="103" t="s">
        <v>174</v>
      </c>
      <c r="B60" s="68"/>
      <c r="C60" s="68"/>
      <c r="D60" s="47"/>
      <c r="E60" s="47"/>
      <c r="F60" s="73"/>
      <c r="G60" s="47"/>
      <c r="H60" s="47"/>
      <c r="I60" s="47"/>
      <c r="J60" s="47"/>
      <c r="K60" s="47"/>
      <c r="L60" s="47"/>
      <c r="M60" s="47"/>
    </row>
    <row r="61" spans="1:13">
      <c r="A61" s="67" t="s">
        <v>19</v>
      </c>
      <c r="B61" s="67" t="s">
        <v>164</v>
      </c>
      <c r="C61" s="67" t="s">
        <v>165</v>
      </c>
      <c r="D61" s="67" t="s">
        <v>166</v>
      </c>
      <c r="E61" s="67" t="s">
        <v>167</v>
      </c>
      <c r="F61" s="67" t="s">
        <v>168</v>
      </c>
      <c r="G61" s="67" t="s">
        <v>169</v>
      </c>
      <c r="H61" s="67" t="s">
        <v>2</v>
      </c>
      <c r="I61" s="67" t="s">
        <v>170</v>
      </c>
      <c r="J61" s="67" t="s">
        <v>171</v>
      </c>
      <c r="K61" s="47"/>
      <c r="L61" s="47"/>
      <c r="M61" s="47"/>
    </row>
    <row r="62" spans="1:13">
      <c r="A62" s="71" t="s">
        <v>11</v>
      </c>
      <c r="B62" s="132">
        <f>H62*0.75</f>
        <v>22608</v>
      </c>
      <c r="C62" s="132">
        <f>H62*0.55</f>
        <v>16579.2</v>
      </c>
      <c r="D62" s="132">
        <f>H62*0.75</f>
        <v>22608</v>
      </c>
      <c r="E62" s="132">
        <f>H62*0.65</f>
        <v>19593.600000000002</v>
      </c>
      <c r="F62" s="132">
        <f>H62*0.75</f>
        <v>22608</v>
      </c>
      <c r="G62" s="132">
        <f>H62*0.98</f>
        <v>29541.119999999999</v>
      </c>
      <c r="H62" s="132">
        <v>30144</v>
      </c>
      <c r="I62" s="132">
        <f>H62*1.1</f>
        <v>33158.400000000001</v>
      </c>
      <c r="J62" s="132">
        <f>H62*0.85</f>
        <v>25622.399999999998</v>
      </c>
      <c r="K62" s="47"/>
      <c r="L62" s="47"/>
      <c r="M62" s="47"/>
    </row>
    <row r="63" spans="1:13">
      <c r="A63" s="71" t="s">
        <v>12</v>
      </c>
      <c r="B63" s="132">
        <f t="shared" ref="B63:B76" si="6">H63*0.75</f>
        <v>16852.5</v>
      </c>
      <c r="C63" s="132">
        <f>H63*0.85</f>
        <v>19099.5</v>
      </c>
      <c r="D63" s="132">
        <f t="shared" ref="D63:D76" si="7">H63*0.75</f>
        <v>16852.5</v>
      </c>
      <c r="E63" s="132">
        <f>H63*0.9</f>
        <v>20223</v>
      </c>
      <c r="F63" s="132">
        <f t="shared" ref="F63:F76" si="8">H63*0.91</f>
        <v>20447.7</v>
      </c>
      <c r="G63" s="132">
        <f>H63*0.8</f>
        <v>17976</v>
      </c>
      <c r="H63" s="132">
        <v>22470</v>
      </c>
      <c r="I63" s="132">
        <f>H63*0.95</f>
        <v>21346.5</v>
      </c>
      <c r="J63" s="132">
        <f>H63*0.7</f>
        <v>15728.999999999998</v>
      </c>
      <c r="K63" s="47"/>
      <c r="L63" s="47"/>
      <c r="M63" s="47"/>
    </row>
    <row r="64" spans="1:13">
      <c r="A64" s="71" t="s">
        <v>13</v>
      </c>
      <c r="B64" s="132">
        <f t="shared" si="6"/>
        <v>155625</v>
      </c>
      <c r="C64" s="132">
        <f>H64*0.85</f>
        <v>176375</v>
      </c>
      <c r="D64" s="132">
        <f t="shared" si="7"/>
        <v>155625</v>
      </c>
      <c r="E64" s="132">
        <f t="shared" ref="E64:E66" si="9">H64*0.9</f>
        <v>186750</v>
      </c>
      <c r="F64" s="132">
        <f t="shared" si="8"/>
        <v>188825</v>
      </c>
      <c r="G64" s="132">
        <f>H64*1.2</f>
        <v>249000</v>
      </c>
      <c r="H64" s="132">
        <v>207500</v>
      </c>
      <c r="I64" s="132">
        <f t="shared" ref="I64:I76" si="10">H64*1.03</f>
        <v>213725</v>
      </c>
      <c r="J64" s="132">
        <f t="shared" ref="J64:J65" si="11">H64*0.7</f>
        <v>145250</v>
      </c>
      <c r="K64" s="47"/>
      <c r="L64" s="47"/>
      <c r="M64" s="47"/>
    </row>
    <row r="65" spans="1:13">
      <c r="A65" s="71" t="s">
        <v>14</v>
      </c>
      <c r="B65" s="132">
        <f t="shared" si="6"/>
        <v>164733.75</v>
      </c>
      <c r="C65" s="132">
        <f>H65*0.85</f>
        <v>186698.25</v>
      </c>
      <c r="D65" s="132">
        <f t="shared" si="7"/>
        <v>164733.75</v>
      </c>
      <c r="E65" s="132">
        <f t="shared" si="9"/>
        <v>197680.5</v>
      </c>
      <c r="F65" s="132">
        <f t="shared" si="8"/>
        <v>199876.95</v>
      </c>
      <c r="G65" s="132">
        <f>H65*0.7</f>
        <v>153751.5</v>
      </c>
      <c r="H65" s="132">
        <v>219645</v>
      </c>
      <c r="I65" s="132">
        <f>H65*0.9</f>
        <v>197680.5</v>
      </c>
      <c r="J65" s="132">
        <f t="shared" si="11"/>
        <v>153751.5</v>
      </c>
      <c r="K65" s="47"/>
      <c r="L65" s="47"/>
      <c r="M65" s="47"/>
    </row>
    <row r="66" spans="1:13" ht="30">
      <c r="A66" s="72" t="s">
        <v>15</v>
      </c>
      <c r="B66" s="132">
        <f t="shared" si="6"/>
        <v>5058.75</v>
      </c>
      <c r="C66" s="132"/>
      <c r="D66" s="132"/>
      <c r="E66" s="132">
        <f t="shared" si="9"/>
        <v>6070.5</v>
      </c>
      <c r="F66" s="132">
        <f t="shared" si="8"/>
        <v>6137.95</v>
      </c>
      <c r="G66" s="132">
        <f t="shared" ref="G66" si="12">H66*1.2</f>
        <v>8094</v>
      </c>
      <c r="H66" s="132">
        <v>6745</v>
      </c>
      <c r="I66" s="132">
        <f>H66*1.1</f>
        <v>7419.5000000000009</v>
      </c>
      <c r="J66" s="132">
        <f>H66*1.2</f>
        <v>8094</v>
      </c>
      <c r="K66" s="47"/>
      <c r="L66" s="47"/>
      <c r="M66" s="47"/>
    </row>
    <row r="67" spans="1:13" ht="30">
      <c r="A67" s="72" t="s">
        <v>16</v>
      </c>
      <c r="B67" s="132">
        <f t="shared" si="6"/>
        <v>5090.25</v>
      </c>
      <c r="C67" s="132">
        <f t="shared" ref="C67:C73" si="13">H67*0.85</f>
        <v>5768.95</v>
      </c>
      <c r="D67" s="132">
        <f t="shared" si="7"/>
        <v>5090.25</v>
      </c>
      <c r="E67" s="132">
        <f t="shared" ref="E67:E73" si="14">H67*0.65</f>
        <v>4411.55</v>
      </c>
      <c r="F67" s="132">
        <f t="shared" si="8"/>
        <v>6176.17</v>
      </c>
      <c r="G67" s="132">
        <f>H67*1.15</f>
        <v>7805.0499999999993</v>
      </c>
      <c r="H67" s="132">
        <v>6787</v>
      </c>
      <c r="I67" s="132">
        <f t="shared" si="10"/>
        <v>6990.6100000000006</v>
      </c>
      <c r="J67" s="132">
        <f>H67*0.7</f>
        <v>4750.8999999999996</v>
      </c>
      <c r="K67" s="47"/>
      <c r="L67" s="47"/>
      <c r="M67" s="47"/>
    </row>
    <row r="68" spans="1:13">
      <c r="A68" s="71" t="s">
        <v>85</v>
      </c>
      <c r="B68" s="132">
        <f t="shared" si="6"/>
        <v>18915</v>
      </c>
      <c r="C68" s="132">
        <f t="shared" si="13"/>
        <v>21437</v>
      </c>
      <c r="D68" s="132">
        <f t="shared" si="7"/>
        <v>18915</v>
      </c>
      <c r="E68" s="132">
        <f>H68*0.9</f>
        <v>22698</v>
      </c>
      <c r="F68" s="132">
        <f t="shared" si="8"/>
        <v>22950.2</v>
      </c>
      <c r="G68" s="132">
        <f t="shared" ref="G68:G69" si="15">H68*1.15</f>
        <v>29002.999999999996</v>
      </c>
      <c r="H68" s="132">
        <v>25220</v>
      </c>
      <c r="I68" s="132">
        <f t="shared" si="10"/>
        <v>25976.600000000002</v>
      </c>
      <c r="J68" s="132">
        <f>H68*1.2</f>
        <v>30264</v>
      </c>
      <c r="K68" s="47"/>
      <c r="L68" s="47"/>
      <c r="M68" s="47"/>
    </row>
    <row r="69" spans="1:13">
      <c r="A69" s="71" t="s">
        <v>86</v>
      </c>
      <c r="B69" s="132">
        <f t="shared" si="6"/>
        <v>16172.25</v>
      </c>
      <c r="C69" s="132">
        <f t="shared" si="13"/>
        <v>18328.55</v>
      </c>
      <c r="D69" s="132">
        <f t="shared" si="7"/>
        <v>16172.25</v>
      </c>
      <c r="E69" s="132">
        <f>H69*0.9</f>
        <v>19406.7</v>
      </c>
      <c r="F69" s="132">
        <f t="shared" si="8"/>
        <v>19622.330000000002</v>
      </c>
      <c r="G69" s="132">
        <f t="shared" si="15"/>
        <v>24797.449999999997</v>
      </c>
      <c r="H69" s="132">
        <v>21563</v>
      </c>
      <c r="I69" s="132">
        <f t="shared" si="10"/>
        <v>22209.89</v>
      </c>
      <c r="J69" s="132">
        <f>H69*0.7</f>
        <v>15094.099999999999</v>
      </c>
      <c r="K69" s="47"/>
      <c r="L69" s="47"/>
      <c r="M69" s="47"/>
    </row>
    <row r="70" spans="1:13" ht="30">
      <c r="A70" s="72" t="s">
        <v>151</v>
      </c>
      <c r="B70" s="132">
        <f t="shared" si="6"/>
        <v>4337.25</v>
      </c>
      <c r="C70" s="132">
        <f t="shared" si="13"/>
        <v>4915.55</v>
      </c>
      <c r="D70" s="132">
        <f t="shared" si="7"/>
        <v>4337.25</v>
      </c>
      <c r="E70" s="132">
        <f>H70*0.9</f>
        <v>5204.7</v>
      </c>
      <c r="F70" s="132">
        <f t="shared" si="8"/>
        <v>5262.53</v>
      </c>
      <c r="G70" s="132">
        <f t="shared" ref="G70" si="16">H70*0.98</f>
        <v>5667.34</v>
      </c>
      <c r="H70" s="132">
        <v>5783</v>
      </c>
      <c r="I70" s="132">
        <f>H70*1.1</f>
        <v>6361.3</v>
      </c>
      <c r="J70" s="132">
        <f>H70*1.2</f>
        <v>6939.5999999999995</v>
      </c>
      <c r="K70" s="47"/>
      <c r="L70" s="47"/>
      <c r="M70" s="47"/>
    </row>
    <row r="71" spans="1:13">
      <c r="A71" s="71" t="s">
        <v>87</v>
      </c>
      <c r="B71" s="132">
        <f t="shared" si="6"/>
        <v>4702.5</v>
      </c>
      <c r="C71" s="132">
        <f t="shared" si="13"/>
        <v>5329.5</v>
      </c>
      <c r="D71" s="132">
        <f t="shared" si="7"/>
        <v>4702.5</v>
      </c>
      <c r="E71" s="132">
        <f t="shared" si="14"/>
        <v>4075.5</v>
      </c>
      <c r="F71" s="132">
        <f t="shared" si="8"/>
        <v>5705.7</v>
      </c>
      <c r="G71" s="132">
        <f>H71*1.2</f>
        <v>7524</v>
      </c>
      <c r="H71" s="132">
        <v>6270</v>
      </c>
      <c r="I71" s="132">
        <f>H71*0.9</f>
        <v>5643</v>
      </c>
      <c r="J71" s="132">
        <f>H71*1.2</f>
        <v>7524</v>
      </c>
      <c r="K71" s="47"/>
      <c r="L71" s="47"/>
      <c r="M71" s="47"/>
    </row>
    <row r="72" spans="1:13">
      <c r="A72" s="71" t="s">
        <v>85</v>
      </c>
      <c r="B72" s="132">
        <f t="shared" si="6"/>
        <v>12875.25</v>
      </c>
      <c r="C72" s="132">
        <f t="shared" si="13"/>
        <v>14591.949999999999</v>
      </c>
      <c r="D72" s="132">
        <f t="shared" si="7"/>
        <v>12875.25</v>
      </c>
      <c r="E72" s="132">
        <f t="shared" si="14"/>
        <v>11158.550000000001</v>
      </c>
      <c r="F72" s="132">
        <f t="shared" si="8"/>
        <v>15621.970000000001</v>
      </c>
      <c r="G72" s="132">
        <f>H72*0.5</f>
        <v>8583.5</v>
      </c>
      <c r="H72" s="132">
        <v>17167</v>
      </c>
      <c r="I72" s="132">
        <f t="shared" si="10"/>
        <v>17682.010000000002</v>
      </c>
      <c r="J72" s="132">
        <f>H72*0.7</f>
        <v>12016.9</v>
      </c>
      <c r="K72" s="47"/>
      <c r="L72" s="47"/>
      <c r="M72" s="47"/>
    </row>
    <row r="73" spans="1:13">
      <c r="A73" s="71" t="s">
        <v>86</v>
      </c>
      <c r="B73" s="132">
        <f t="shared" si="6"/>
        <v>19404</v>
      </c>
      <c r="C73" s="132">
        <f t="shared" si="13"/>
        <v>21991.200000000001</v>
      </c>
      <c r="D73" s="132">
        <f t="shared" si="7"/>
        <v>19404</v>
      </c>
      <c r="E73" s="132">
        <f t="shared" si="14"/>
        <v>16816.8</v>
      </c>
      <c r="F73" s="132">
        <f t="shared" si="8"/>
        <v>23543.52</v>
      </c>
      <c r="G73" s="132">
        <f t="shared" ref="G73" si="17">H73*1.2</f>
        <v>31046.399999999998</v>
      </c>
      <c r="H73" s="132">
        <v>25872</v>
      </c>
      <c r="I73" s="132">
        <f t="shared" si="10"/>
        <v>26648.16</v>
      </c>
      <c r="J73" s="132">
        <f>H73*0.7</f>
        <v>18110.399999999998</v>
      </c>
      <c r="K73" s="47"/>
      <c r="L73" s="47"/>
      <c r="M73" s="47"/>
    </row>
    <row r="74" spans="1:13">
      <c r="A74" s="72" t="s">
        <v>83</v>
      </c>
      <c r="B74" s="132">
        <f t="shared" si="6"/>
        <v>1535.25</v>
      </c>
      <c r="C74" s="132">
        <f>H74*0.55</f>
        <v>1125.8500000000001</v>
      </c>
      <c r="D74" s="132">
        <f t="shared" si="7"/>
        <v>1535.25</v>
      </c>
      <c r="E74" s="132">
        <f>H74*0.9</f>
        <v>1842.3</v>
      </c>
      <c r="F74" s="132">
        <f t="shared" si="8"/>
        <v>1862.77</v>
      </c>
      <c r="G74" s="132">
        <f>H74*0.7</f>
        <v>1432.8999999999999</v>
      </c>
      <c r="H74" s="132">
        <v>2047</v>
      </c>
      <c r="I74" s="132">
        <f>H74*1.1</f>
        <v>2251.7000000000003</v>
      </c>
      <c r="J74" s="132">
        <f>H74*0.7</f>
        <v>1432.8999999999999</v>
      </c>
      <c r="K74" s="47"/>
      <c r="L74" s="47"/>
      <c r="M74" s="47"/>
    </row>
    <row r="75" spans="1:13">
      <c r="A75" s="72" t="s">
        <v>54</v>
      </c>
      <c r="B75" s="132"/>
      <c r="C75" s="132"/>
      <c r="D75" s="132"/>
      <c r="E75" s="132"/>
      <c r="F75" s="132"/>
      <c r="G75" s="132"/>
      <c r="H75" s="132"/>
      <c r="I75" s="132"/>
      <c r="J75" s="132"/>
      <c r="K75" s="47"/>
      <c r="L75" s="47"/>
      <c r="M75" s="47"/>
    </row>
    <row r="76" spans="1:13">
      <c r="A76" s="72" t="s">
        <v>6</v>
      </c>
      <c r="B76" s="132">
        <f t="shared" si="6"/>
        <v>3122.25</v>
      </c>
      <c r="C76" s="132">
        <f>H76*0.78</f>
        <v>3247.1400000000003</v>
      </c>
      <c r="D76" s="132">
        <f t="shared" si="7"/>
        <v>3122.25</v>
      </c>
      <c r="E76" s="132">
        <f t="shared" ref="E76" si="18">H76*0.9</f>
        <v>3746.7000000000003</v>
      </c>
      <c r="F76" s="132">
        <f t="shared" si="8"/>
        <v>3788.33</v>
      </c>
      <c r="G76" s="132">
        <f>H76*1.1</f>
        <v>4579.3</v>
      </c>
      <c r="H76" s="132">
        <v>4163</v>
      </c>
      <c r="I76" s="132">
        <f t="shared" si="10"/>
        <v>4287.8900000000003</v>
      </c>
      <c r="J76" s="132">
        <f>H76*1.2</f>
        <v>4995.5999999999995</v>
      </c>
      <c r="K76" s="47"/>
      <c r="L76" s="47"/>
      <c r="M76" s="47"/>
    </row>
    <row r="77" spans="1:13">
      <c r="A77" s="103" t="s">
        <v>175</v>
      </c>
      <c r="B77" s="68"/>
      <c r="C77" s="68"/>
      <c r="D77" s="47"/>
      <c r="E77" s="47"/>
      <c r="F77" s="73"/>
      <c r="G77" s="47"/>
      <c r="H77" s="47"/>
      <c r="I77" s="47"/>
      <c r="J77" s="47"/>
      <c r="K77" s="47"/>
      <c r="L77" s="47"/>
      <c r="M77" s="47"/>
    </row>
    <row r="78" spans="1:13">
      <c r="A78" s="67" t="s">
        <v>19</v>
      </c>
      <c r="B78" s="76" t="s">
        <v>164</v>
      </c>
      <c r="C78" s="76" t="s">
        <v>165</v>
      </c>
      <c r="D78" s="76" t="s">
        <v>166</v>
      </c>
      <c r="E78" s="76" t="s">
        <v>167</v>
      </c>
      <c r="F78" s="76" t="s">
        <v>168</v>
      </c>
      <c r="G78" s="76" t="s">
        <v>169</v>
      </c>
      <c r="H78" s="76" t="s">
        <v>2</v>
      </c>
      <c r="I78" s="76" t="s">
        <v>170</v>
      </c>
      <c r="J78" s="76" t="s">
        <v>171</v>
      </c>
      <c r="K78" s="47"/>
      <c r="L78" s="47"/>
      <c r="M78" s="47"/>
    </row>
    <row r="79" spans="1:13">
      <c r="A79" s="74" t="s">
        <v>11</v>
      </c>
      <c r="B79" s="131">
        <v>70</v>
      </c>
      <c r="C79" s="131">
        <v>105</v>
      </c>
      <c r="D79" s="131">
        <v>90</v>
      </c>
      <c r="E79" s="131">
        <v>180</v>
      </c>
      <c r="F79" s="131">
        <v>300</v>
      </c>
      <c r="G79" s="131">
        <v>200</v>
      </c>
      <c r="H79" s="131">
        <v>300</v>
      </c>
      <c r="I79" s="131">
        <v>300</v>
      </c>
      <c r="J79" s="131">
        <v>500</v>
      </c>
      <c r="K79" s="47"/>
      <c r="L79" s="47"/>
      <c r="M79" s="47"/>
    </row>
    <row r="80" spans="1:13">
      <c r="A80" s="74" t="s">
        <v>12</v>
      </c>
      <c r="B80" s="131">
        <v>140</v>
      </c>
      <c r="C80" s="131">
        <v>70</v>
      </c>
      <c r="D80" s="131">
        <v>200</v>
      </c>
      <c r="E80" s="131">
        <v>50</v>
      </c>
      <c r="F80" s="131">
        <v>300</v>
      </c>
      <c r="G80" s="131">
        <v>200</v>
      </c>
      <c r="H80" s="131">
        <v>400</v>
      </c>
      <c r="I80" s="131">
        <v>300</v>
      </c>
      <c r="J80" s="131">
        <v>500</v>
      </c>
      <c r="K80" s="47"/>
      <c r="L80" s="47"/>
      <c r="M80" s="47"/>
    </row>
    <row r="81" spans="1:13">
      <c r="A81" s="74" t="s">
        <v>13</v>
      </c>
      <c r="B81" s="131">
        <v>20</v>
      </c>
      <c r="C81" s="131">
        <v>10</v>
      </c>
      <c r="D81" s="131">
        <v>5</v>
      </c>
      <c r="E81" s="131">
        <v>12</v>
      </c>
      <c r="F81" s="131">
        <v>50</v>
      </c>
      <c r="G81" s="131">
        <v>15</v>
      </c>
      <c r="H81" s="131">
        <v>33</v>
      </c>
      <c r="I81" s="131">
        <v>25</v>
      </c>
      <c r="J81" s="131">
        <v>40</v>
      </c>
      <c r="K81" s="47"/>
      <c r="L81" s="47"/>
      <c r="M81" s="47"/>
    </row>
    <row r="82" spans="1:13">
      <c r="A82" s="74" t="s">
        <v>14</v>
      </c>
      <c r="B82" s="131">
        <v>8</v>
      </c>
      <c r="C82" s="131">
        <v>5</v>
      </c>
      <c r="D82" s="131">
        <v>5</v>
      </c>
      <c r="E82" s="131">
        <v>10</v>
      </c>
      <c r="F82" s="131">
        <v>30</v>
      </c>
      <c r="G82" s="131">
        <v>25</v>
      </c>
      <c r="H82" s="131">
        <v>30</v>
      </c>
      <c r="I82" s="131">
        <v>15</v>
      </c>
      <c r="J82" s="131">
        <v>25</v>
      </c>
      <c r="K82" s="47"/>
      <c r="L82" s="47"/>
      <c r="M82" s="47"/>
    </row>
    <row r="83" spans="1:13" ht="30">
      <c r="A83" s="75" t="s">
        <v>15</v>
      </c>
      <c r="B83" s="131">
        <v>30</v>
      </c>
      <c r="C83" s="131"/>
      <c r="D83" s="131"/>
      <c r="E83" s="131">
        <v>30</v>
      </c>
      <c r="F83" s="131">
        <v>30</v>
      </c>
      <c r="G83" s="131">
        <v>40</v>
      </c>
      <c r="H83" s="131">
        <v>30</v>
      </c>
      <c r="I83" s="131">
        <v>50</v>
      </c>
      <c r="J83" s="131">
        <v>40</v>
      </c>
      <c r="K83" s="47"/>
      <c r="L83" s="47"/>
      <c r="M83" s="47"/>
    </row>
    <row r="84" spans="1:13" ht="30">
      <c r="A84" s="75" t="s">
        <v>16</v>
      </c>
      <c r="B84" s="131">
        <v>50</v>
      </c>
      <c r="C84" s="131">
        <v>50</v>
      </c>
      <c r="D84" s="131">
        <v>30</v>
      </c>
      <c r="E84" s="131">
        <v>60</v>
      </c>
      <c r="F84" s="131">
        <v>150</v>
      </c>
      <c r="G84" s="131">
        <v>35</v>
      </c>
      <c r="H84" s="131">
        <v>80</v>
      </c>
      <c r="I84" s="131">
        <v>150</v>
      </c>
      <c r="J84" s="131">
        <v>200</v>
      </c>
      <c r="K84" s="47"/>
      <c r="L84" s="47"/>
      <c r="M84" s="47"/>
    </row>
    <row r="85" spans="1:13">
      <c r="A85" s="74" t="s">
        <v>85</v>
      </c>
      <c r="B85" s="131">
        <v>60</v>
      </c>
      <c r="C85" s="131">
        <v>50</v>
      </c>
      <c r="D85" s="131">
        <v>30</v>
      </c>
      <c r="E85" s="131">
        <v>40</v>
      </c>
      <c r="F85" s="131">
        <v>30</v>
      </c>
      <c r="G85" s="131">
        <v>30</v>
      </c>
      <c r="H85" s="131">
        <v>80</v>
      </c>
      <c r="I85" s="131">
        <v>50</v>
      </c>
      <c r="J85" s="131">
        <v>90</v>
      </c>
      <c r="K85" s="47"/>
      <c r="L85" s="47"/>
      <c r="M85" s="47"/>
    </row>
    <row r="86" spans="1:13">
      <c r="A86" s="74" t="s">
        <v>86</v>
      </c>
      <c r="B86" s="131">
        <v>70</v>
      </c>
      <c r="C86" s="131">
        <v>40</v>
      </c>
      <c r="D86" s="131">
        <v>40</v>
      </c>
      <c r="E86" s="131">
        <v>50</v>
      </c>
      <c r="F86" s="131">
        <v>40</v>
      </c>
      <c r="G86" s="131">
        <v>45</v>
      </c>
      <c r="H86" s="131">
        <v>80</v>
      </c>
      <c r="I86" s="131">
        <v>200</v>
      </c>
      <c r="J86" s="131">
        <v>150</v>
      </c>
      <c r="K86" s="47"/>
      <c r="L86" s="47"/>
      <c r="M86" s="47"/>
    </row>
    <row r="87" spans="1:13" ht="30">
      <c r="A87" s="75" t="s">
        <v>151</v>
      </c>
      <c r="B87" s="131">
        <v>160</v>
      </c>
      <c r="C87" s="131">
        <v>70</v>
      </c>
      <c r="D87" s="131">
        <v>80</v>
      </c>
      <c r="E87" s="131">
        <v>50</v>
      </c>
      <c r="F87" s="131">
        <v>50</v>
      </c>
      <c r="G87" s="131">
        <v>140</v>
      </c>
      <c r="H87" s="131">
        <v>80</v>
      </c>
      <c r="I87" s="131">
        <v>70</v>
      </c>
      <c r="J87" s="131">
        <v>120</v>
      </c>
      <c r="K87" s="47"/>
      <c r="L87" s="47"/>
      <c r="M87" s="47"/>
    </row>
    <row r="88" spans="1:13">
      <c r="A88" s="74" t="s">
        <v>87</v>
      </c>
      <c r="B88" s="131">
        <v>120</v>
      </c>
      <c r="C88" s="131">
        <v>120</v>
      </c>
      <c r="D88" s="131">
        <v>110</v>
      </c>
      <c r="E88" s="131">
        <v>100</v>
      </c>
      <c r="F88" s="131">
        <v>150</v>
      </c>
      <c r="G88" s="131">
        <v>80</v>
      </c>
      <c r="H88" s="131">
        <v>50</v>
      </c>
      <c r="I88" s="131">
        <v>100</v>
      </c>
      <c r="J88" s="131">
        <v>100</v>
      </c>
      <c r="K88" s="47"/>
      <c r="L88" s="47"/>
      <c r="M88" s="47"/>
    </row>
    <row r="89" spans="1:13">
      <c r="A89" s="74" t="s">
        <v>85</v>
      </c>
      <c r="B89" s="131">
        <v>150</v>
      </c>
      <c r="C89" s="131">
        <v>150</v>
      </c>
      <c r="D89" s="131">
        <v>180</v>
      </c>
      <c r="E89" s="131">
        <v>120</v>
      </c>
      <c r="F89" s="131">
        <v>150</v>
      </c>
      <c r="G89" s="131">
        <v>150</v>
      </c>
      <c r="H89" s="131">
        <v>80</v>
      </c>
      <c r="I89" s="131">
        <v>150</v>
      </c>
      <c r="J89" s="131">
        <v>100</v>
      </c>
      <c r="K89" s="47"/>
      <c r="L89" s="47"/>
      <c r="M89" s="47"/>
    </row>
    <row r="90" spans="1:13">
      <c r="A90" s="74" t="s">
        <v>86</v>
      </c>
      <c r="B90" s="131">
        <v>90</v>
      </c>
      <c r="C90" s="131">
        <v>100</v>
      </c>
      <c r="D90" s="131">
        <v>100</v>
      </c>
      <c r="E90" s="131">
        <v>80</v>
      </c>
      <c r="F90" s="131">
        <v>150</v>
      </c>
      <c r="G90" s="131">
        <v>100</v>
      </c>
      <c r="H90" s="131">
        <v>70</v>
      </c>
      <c r="I90" s="131">
        <v>50</v>
      </c>
      <c r="J90" s="131">
        <v>100</v>
      </c>
      <c r="K90" s="47"/>
      <c r="L90" s="47"/>
      <c r="M90" s="47"/>
    </row>
    <row r="91" spans="1:13">
      <c r="A91" s="75" t="s">
        <v>83</v>
      </c>
      <c r="B91" s="131">
        <v>90</v>
      </c>
      <c r="C91" s="131">
        <v>50</v>
      </c>
      <c r="D91" s="131">
        <v>90</v>
      </c>
      <c r="E91" s="131">
        <v>90</v>
      </c>
      <c r="F91" s="131">
        <v>300</v>
      </c>
      <c r="G91" s="131">
        <v>400</v>
      </c>
      <c r="H91" s="131">
        <v>150</v>
      </c>
      <c r="I91" s="131">
        <v>50</v>
      </c>
      <c r="J91" s="131">
        <v>300</v>
      </c>
      <c r="K91" s="47"/>
      <c r="L91" s="47"/>
      <c r="M91" s="47"/>
    </row>
    <row r="92" spans="1:13">
      <c r="A92" s="75" t="s">
        <v>54</v>
      </c>
      <c r="B92" s="131">
        <v>120</v>
      </c>
      <c r="C92" s="131">
        <v>90</v>
      </c>
      <c r="D92" s="131">
        <v>120</v>
      </c>
      <c r="E92" s="131">
        <v>150</v>
      </c>
      <c r="F92" s="131">
        <v>300</v>
      </c>
      <c r="G92" s="131">
        <v>200</v>
      </c>
      <c r="H92" s="131">
        <v>100</v>
      </c>
      <c r="I92" s="131">
        <v>50</v>
      </c>
      <c r="J92" s="131">
        <v>200</v>
      </c>
      <c r="K92" s="47"/>
      <c r="L92" s="47"/>
      <c r="M92" s="47"/>
    </row>
    <row r="93" spans="1:13">
      <c r="A93" s="75" t="s">
        <v>6</v>
      </c>
      <c r="B93" s="131">
        <v>60</v>
      </c>
      <c r="C93" s="131">
        <v>80</v>
      </c>
      <c r="D93" s="131">
        <v>60</v>
      </c>
      <c r="E93" s="131">
        <v>130</v>
      </c>
      <c r="F93" s="131">
        <v>80</v>
      </c>
      <c r="G93" s="131">
        <v>50</v>
      </c>
      <c r="H93" s="131">
        <v>100</v>
      </c>
      <c r="I93" s="131">
        <v>50</v>
      </c>
      <c r="J93" s="131">
        <v>150</v>
      </c>
      <c r="K93" s="47"/>
      <c r="L93" s="47"/>
      <c r="M93" s="47"/>
    </row>
    <row r="94" spans="1:13">
      <c r="A94" s="103" t="s">
        <v>176</v>
      </c>
      <c r="B94" s="47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</row>
    <row r="95" spans="1:13">
      <c r="A95" s="67" t="s">
        <v>163</v>
      </c>
      <c r="B95" s="76" t="s">
        <v>164</v>
      </c>
      <c r="C95" s="76" t="s">
        <v>165</v>
      </c>
      <c r="D95" s="76" t="s">
        <v>166</v>
      </c>
      <c r="E95" s="76" t="s">
        <v>167</v>
      </c>
      <c r="F95" s="76" t="s">
        <v>168</v>
      </c>
      <c r="G95" s="76" t="s">
        <v>169</v>
      </c>
      <c r="H95" s="76" t="s">
        <v>2</v>
      </c>
      <c r="I95" s="76" t="s">
        <v>170</v>
      </c>
      <c r="J95" s="76" t="s">
        <v>171</v>
      </c>
      <c r="K95" s="68"/>
      <c r="L95" s="68"/>
      <c r="M95" s="68"/>
    </row>
    <row r="96" spans="1:13" ht="30">
      <c r="A96" s="60" t="s">
        <v>34</v>
      </c>
      <c r="B96" s="131">
        <v>800</v>
      </c>
      <c r="C96" s="131">
        <v>750</v>
      </c>
      <c r="D96" s="131">
        <v>780</v>
      </c>
      <c r="E96" s="131">
        <v>800</v>
      </c>
      <c r="F96" s="131">
        <v>1050</v>
      </c>
      <c r="G96" s="131">
        <v>850</v>
      </c>
      <c r="H96" s="131">
        <v>950</v>
      </c>
      <c r="I96" s="131">
        <v>830</v>
      </c>
      <c r="J96" s="131">
        <v>1200</v>
      </c>
      <c r="K96" s="68"/>
      <c r="L96" s="68"/>
      <c r="M96" s="68"/>
    </row>
    <row r="97" spans="1:13" ht="30">
      <c r="A97" s="60" t="s">
        <v>35</v>
      </c>
      <c r="B97" s="131">
        <v>900</v>
      </c>
      <c r="C97" s="131">
        <v>850</v>
      </c>
      <c r="D97" s="131">
        <v>880</v>
      </c>
      <c r="E97" s="131">
        <v>900</v>
      </c>
      <c r="F97" s="131">
        <v>1150</v>
      </c>
      <c r="G97" s="131">
        <v>950</v>
      </c>
      <c r="H97" s="131">
        <v>1050</v>
      </c>
      <c r="I97" s="131">
        <v>930</v>
      </c>
      <c r="J97" s="131">
        <v>1300</v>
      </c>
      <c r="K97" s="68"/>
      <c r="L97" s="68"/>
      <c r="M97" s="68"/>
    </row>
    <row r="98" spans="1:13" ht="30">
      <c r="A98" s="60" t="s">
        <v>36</v>
      </c>
      <c r="B98" s="131">
        <v>30</v>
      </c>
      <c r="C98" s="131">
        <v>35</v>
      </c>
      <c r="D98" s="131">
        <v>30</v>
      </c>
      <c r="E98" s="131">
        <v>45</v>
      </c>
      <c r="F98" s="131">
        <v>45</v>
      </c>
      <c r="G98" s="131">
        <v>40</v>
      </c>
      <c r="H98" s="131">
        <v>45</v>
      </c>
      <c r="I98" s="131">
        <v>50</v>
      </c>
      <c r="J98" s="131">
        <v>45</v>
      </c>
      <c r="K98" s="68"/>
      <c r="L98" s="68"/>
      <c r="M98" s="68"/>
    </row>
    <row r="99" spans="1:13" ht="30">
      <c r="A99" s="60" t="s">
        <v>37</v>
      </c>
      <c r="B99" s="131">
        <v>40</v>
      </c>
      <c r="C99" s="131">
        <v>45</v>
      </c>
      <c r="D99" s="131">
        <v>40</v>
      </c>
      <c r="E99" s="131">
        <v>55</v>
      </c>
      <c r="F99" s="131">
        <v>55</v>
      </c>
      <c r="G99" s="131">
        <v>50</v>
      </c>
      <c r="H99" s="131">
        <v>55</v>
      </c>
      <c r="I99" s="131">
        <v>60</v>
      </c>
      <c r="J99" s="131">
        <v>55</v>
      </c>
      <c r="K99" s="68"/>
      <c r="L99" s="68"/>
      <c r="M99" s="68"/>
    </row>
    <row r="100" spans="1:13">
      <c r="A100" s="103" t="s">
        <v>177</v>
      </c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</row>
    <row r="101" spans="1:13">
      <c r="A101" s="150" t="s">
        <v>38</v>
      </c>
      <c r="B101" s="153" t="s">
        <v>51</v>
      </c>
      <c r="C101" s="154"/>
      <c r="D101" s="68"/>
      <c r="E101" s="68"/>
      <c r="F101" s="68"/>
      <c r="G101" s="68"/>
      <c r="H101" s="68"/>
      <c r="I101" s="68"/>
      <c r="J101" s="68"/>
      <c r="K101" s="68"/>
      <c r="L101" s="68"/>
      <c r="M101" s="68"/>
    </row>
    <row r="102" spans="1:13" ht="30">
      <c r="A102" s="150"/>
      <c r="B102" s="67" t="s">
        <v>52</v>
      </c>
      <c r="C102" s="66" t="s">
        <v>53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</row>
    <row r="103" spans="1:13">
      <c r="A103" s="59" t="s">
        <v>11</v>
      </c>
      <c r="B103" s="62">
        <v>1.21</v>
      </c>
      <c r="C103" s="77">
        <v>8.1000000000000003E-2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</row>
    <row r="104" spans="1:13">
      <c r="A104" s="59" t="s">
        <v>12</v>
      </c>
      <c r="B104" s="62">
        <v>1</v>
      </c>
      <c r="C104" s="77">
        <v>8.5000000000000006E-2</v>
      </c>
      <c r="D104" s="68"/>
      <c r="E104" s="68"/>
      <c r="F104" s="68"/>
      <c r="G104" s="68"/>
      <c r="H104" s="68"/>
      <c r="I104" s="68"/>
      <c r="J104" s="68"/>
      <c r="K104" s="68"/>
      <c r="L104" s="68"/>
      <c r="M104" s="68"/>
    </row>
    <row r="105" spans="1:13">
      <c r="A105" s="59" t="s">
        <v>13</v>
      </c>
      <c r="B105" s="62">
        <v>0.3</v>
      </c>
      <c r="C105" s="77">
        <v>1.6E-2</v>
      </c>
      <c r="D105" s="68"/>
      <c r="E105" s="68"/>
      <c r="F105" s="68"/>
      <c r="G105" s="68"/>
      <c r="H105" s="68"/>
      <c r="I105" s="68"/>
      <c r="J105" s="68"/>
      <c r="K105" s="68"/>
      <c r="L105" s="68"/>
      <c r="M105" s="68"/>
    </row>
    <row r="106" spans="1:13">
      <c r="A106" s="59" t="s">
        <v>14</v>
      </c>
      <c r="B106" s="62">
        <v>0.12</v>
      </c>
      <c r="C106" s="77">
        <v>8.9999999999999993E-3</v>
      </c>
      <c r="D106" s="68"/>
      <c r="E106" s="68"/>
      <c r="F106" s="68"/>
      <c r="G106" s="68"/>
      <c r="H106" s="68"/>
      <c r="I106" s="68"/>
      <c r="J106" s="68"/>
      <c r="K106" s="68"/>
      <c r="L106" s="68"/>
      <c r="M106" s="68"/>
    </row>
    <row r="107" spans="1:13" ht="30">
      <c r="A107" s="59" t="s">
        <v>15</v>
      </c>
      <c r="B107" s="62">
        <v>0.18</v>
      </c>
      <c r="C107" s="77">
        <v>2.1999999999999999E-2</v>
      </c>
      <c r="D107" s="68"/>
      <c r="E107" s="68"/>
      <c r="F107" s="68"/>
      <c r="G107" s="68"/>
      <c r="H107" s="68"/>
      <c r="I107" s="68"/>
      <c r="J107" s="68"/>
      <c r="K107" s="68"/>
      <c r="L107" s="68"/>
      <c r="M107" s="68"/>
    </row>
    <row r="108" spans="1:13" ht="30">
      <c r="A108" s="59" t="s">
        <v>16</v>
      </c>
      <c r="B108" s="62">
        <v>0.16</v>
      </c>
      <c r="C108" s="77">
        <v>2.7E-2</v>
      </c>
      <c r="D108" s="68"/>
      <c r="E108" s="68"/>
      <c r="F108" s="68"/>
      <c r="G108" s="68"/>
      <c r="H108" s="68"/>
      <c r="I108" s="68"/>
      <c r="J108" s="68"/>
      <c r="K108" s="68"/>
      <c r="L108" s="68"/>
      <c r="M108" s="68"/>
    </row>
    <row r="109" spans="1:13">
      <c r="A109" s="59" t="s">
        <v>46</v>
      </c>
      <c r="B109" s="62">
        <v>0.21</v>
      </c>
      <c r="C109" s="77">
        <v>3.2000000000000001E-2</v>
      </c>
      <c r="D109" s="68"/>
      <c r="E109" s="68"/>
      <c r="F109" s="68"/>
      <c r="G109" s="68"/>
      <c r="H109" s="68"/>
      <c r="I109" s="68"/>
      <c r="J109" s="68"/>
      <c r="K109" s="68"/>
      <c r="L109" s="68"/>
      <c r="M109" s="68"/>
    </row>
    <row r="110" spans="1:13">
      <c r="A110" s="59" t="s">
        <v>44</v>
      </c>
      <c r="B110" s="62">
        <v>0.33</v>
      </c>
      <c r="C110" s="77">
        <v>3.4000000000000002E-2</v>
      </c>
      <c r="D110" s="68"/>
      <c r="E110" s="68"/>
      <c r="F110" s="68"/>
      <c r="G110" s="68"/>
      <c r="H110" s="68"/>
      <c r="I110" s="68"/>
      <c r="J110" s="68"/>
      <c r="K110" s="68"/>
      <c r="L110" s="68"/>
      <c r="M110" s="68"/>
    </row>
    <row r="111" spans="1:13" ht="30">
      <c r="A111" s="59" t="s">
        <v>47</v>
      </c>
      <c r="B111" s="62">
        <v>0.22</v>
      </c>
      <c r="C111" s="77">
        <v>1.9E-2</v>
      </c>
      <c r="D111" s="68"/>
      <c r="E111" s="68"/>
      <c r="F111" s="68"/>
      <c r="G111" s="68"/>
      <c r="H111" s="68"/>
      <c r="I111" s="68"/>
      <c r="J111" s="68"/>
      <c r="K111" s="68"/>
      <c r="L111" s="68"/>
      <c r="M111" s="68"/>
    </row>
    <row r="112" spans="1:13">
      <c r="A112" s="59" t="s">
        <v>41</v>
      </c>
      <c r="B112" s="55">
        <v>0.5</v>
      </c>
      <c r="C112" s="77">
        <v>5.1999999999999998E-2</v>
      </c>
      <c r="D112" s="68"/>
      <c r="E112" s="68"/>
      <c r="F112" s="68"/>
      <c r="G112" s="68"/>
      <c r="H112" s="68"/>
      <c r="I112" s="68"/>
      <c r="J112" s="68"/>
      <c r="K112" s="68"/>
      <c r="L112" s="68"/>
      <c r="M112" s="68"/>
    </row>
    <row r="113" spans="1:13">
      <c r="A113" s="59" t="s">
        <v>45</v>
      </c>
      <c r="B113" s="62">
        <v>0.22</v>
      </c>
      <c r="C113" s="62">
        <v>0.03</v>
      </c>
      <c r="D113" s="68"/>
      <c r="E113" s="68"/>
      <c r="F113" s="68"/>
      <c r="G113" s="68"/>
      <c r="H113" s="68"/>
      <c r="I113" s="68"/>
      <c r="J113" s="68"/>
      <c r="K113" s="68"/>
      <c r="L113" s="68"/>
      <c r="M113" s="68"/>
    </row>
    <row r="114" spans="1:13">
      <c r="A114" s="59" t="s">
        <v>43</v>
      </c>
      <c r="B114" s="62">
        <v>0.35</v>
      </c>
      <c r="C114" s="77">
        <v>3.4000000000000002E-2</v>
      </c>
      <c r="D114" s="68"/>
      <c r="E114" s="68"/>
      <c r="F114" s="68"/>
      <c r="G114" s="68"/>
      <c r="H114" s="68"/>
      <c r="I114" s="68"/>
      <c r="J114" s="68"/>
      <c r="K114" s="68"/>
      <c r="L114" s="68"/>
      <c r="M114" s="68"/>
    </row>
    <row r="115" spans="1:13" ht="30">
      <c r="A115" s="59" t="s">
        <v>42</v>
      </c>
      <c r="B115" s="62">
        <v>0.42</v>
      </c>
      <c r="C115" s="77">
        <v>0.04</v>
      </c>
      <c r="D115" s="68"/>
      <c r="E115" s="68"/>
      <c r="F115" s="68"/>
      <c r="G115" s="68"/>
      <c r="H115" s="68"/>
      <c r="I115" s="68"/>
      <c r="J115" s="68"/>
      <c r="K115" s="68"/>
      <c r="L115" s="68"/>
      <c r="M115" s="68"/>
    </row>
    <row r="116" spans="1:13" ht="30">
      <c r="A116" s="59" t="s">
        <v>48</v>
      </c>
      <c r="B116" s="62">
        <v>0.17</v>
      </c>
      <c r="C116" s="77">
        <v>1.4E-2</v>
      </c>
      <c r="D116" s="68"/>
      <c r="E116" s="68"/>
      <c r="F116" s="68"/>
      <c r="G116" s="68"/>
      <c r="H116" s="68"/>
      <c r="I116" s="68"/>
      <c r="J116" s="68"/>
      <c r="K116" s="68"/>
      <c r="L116" s="68"/>
      <c r="M116" s="68"/>
    </row>
    <row r="117" spans="1:13" ht="15" customHeight="1">
      <c r="A117" s="134" t="s">
        <v>49</v>
      </c>
      <c r="B117" s="62">
        <v>0.2</v>
      </c>
      <c r="C117" s="77">
        <v>2.1999999999999999E-2</v>
      </c>
      <c r="D117" s="68"/>
      <c r="E117" s="68"/>
      <c r="F117" s="68"/>
      <c r="G117" s="68"/>
      <c r="H117" s="68"/>
      <c r="I117" s="68"/>
      <c r="J117" s="68"/>
      <c r="K117" s="68"/>
      <c r="L117" s="68"/>
      <c r="M117" s="68"/>
    </row>
    <row r="118" spans="1:13">
      <c r="A118" s="59" t="s">
        <v>40</v>
      </c>
      <c r="B118" s="62">
        <v>0.92</v>
      </c>
      <c r="C118" s="77">
        <v>0.14000000000000001</v>
      </c>
      <c r="D118" s="68"/>
      <c r="E118" s="68"/>
      <c r="F118" s="68"/>
      <c r="G118" s="68"/>
      <c r="H118" s="68"/>
      <c r="I118" s="68"/>
      <c r="J118" s="68"/>
      <c r="K118" s="68"/>
      <c r="L118" s="68"/>
      <c r="M118" s="68"/>
    </row>
    <row r="119" spans="1:13">
      <c r="A119" s="59" t="s">
        <v>39</v>
      </c>
      <c r="B119" s="55">
        <v>0.8</v>
      </c>
      <c r="C119" s="77">
        <v>7.4999999999999997E-2</v>
      </c>
      <c r="D119" s="68"/>
      <c r="E119" s="68"/>
      <c r="F119" s="68"/>
      <c r="G119" s="68"/>
      <c r="H119" s="68"/>
      <c r="I119" s="68"/>
      <c r="J119" s="68"/>
      <c r="K119" s="68"/>
      <c r="L119" s="68"/>
      <c r="M119" s="68"/>
    </row>
    <row r="120" spans="1:13">
      <c r="A120" s="78" t="s">
        <v>8</v>
      </c>
      <c r="B120" s="79">
        <v>0.12</v>
      </c>
      <c r="C120" s="80">
        <v>1.4E-2</v>
      </c>
      <c r="D120" s="68"/>
      <c r="E120" s="68"/>
      <c r="F120" s="68"/>
      <c r="G120" s="68"/>
      <c r="H120" s="68"/>
      <c r="I120" s="68"/>
      <c r="J120" s="68"/>
      <c r="K120" s="68"/>
      <c r="L120" s="68"/>
      <c r="M120" s="68"/>
    </row>
    <row r="121" spans="1:13">
      <c r="A121" s="59" t="s">
        <v>240</v>
      </c>
      <c r="B121" s="62">
        <v>0.36</v>
      </c>
      <c r="C121" s="77">
        <v>1.2E-2</v>
      </c>
      <c r="D121" s="68"/>
      <c r="E121" s="68"/>
      <c r="F121" s="68"/>
      <c r="G121" s="68"/>
      <c r="H121" s="68"/>
      <c r="I121" s="68"/>
      <c r="J121" s="68"/>
      <c r="K121" s="68"/>
      <c r="L121" s="68"/>
      <c r="M121" s="68"/>
    </row>
    <row r="122" spans="1:13">
      <c r="A122" s="59" t="s">
        <v>20</v>
      </c>
      <c r="B122" s="62">
        <v>0.34</v>
      </c>
      <c r="C122" s="77">
        <v>3.2000000000000001E-2</v>
      </c>
      <c r="D122" s="68"/>
      <c r="E122" s="68"/>
      <c r="F122" s="68"/>
      <c r="G122" s="68"/>
      <c r="H122" s="68"/>
      <c r="I122" s="68"/>
      <c r="J122" s="68"/>
      <c r="K122" s="68"/>
      <c r="L122" s="68"/>
      <c r="M122" s="68"/>
    </row>
    <row r="123" spans="1:13">
      <c r="A123" s="59" t="s">
        <v>50</v>
      </c>
      <c r="B123" s="62">
        <v>0.13</v>
      </c>
      <c r="C123" s="77">
        <v>3.1E-2</v>
      </c>
      <c r="D123" s="68"/>
      <c r="E123" s="68"/>
      <c r="F123" s="68"/>
      <c r="G123" s="68"/>
      <c r="H123" s="68"/>
      <c r="I123" s="68"/>
      <c r="J123" s="68"/>
      <c r="K123" s="68"/>
      <c r="L123" s="68"/>
      <c r="M123" s="68"/>
    </row>
    <row r="124" spans="1:13">
      <c r="A124" s="103" t="s">
        <v>178</v>
      </c>
      <c r="B124" s="47"/>
      <c r="C124" s="47"/>
      <c r="D124" s="68"/>
      <c r="E124" s="68"/>
      <c r="F124" s="68"/>
      <c r="G124" s="68"/>
      <c r="H124" s="68"/>
      <c r="I124" s="68"/>
      <c r="J124" s="68"/>
      <c r="K124" s="68"/>
      <c r="L124" s="68"/>
      <c r="M124" s="68"/>
    </row>
    <row r="125" spans="1:13">
      <c r="A125" s="67" t="s">
        <v>38</v>
      </c>
      <c r="B125" s="67" t="s">
        <v>164</v>
      </c>
      <c r="C125" s="66" t="s">
        <v>165</v>
      </c>
      <c r="D125" s="67" t="s">
        <v>166</v>
      </c>
      <c r="E125" s="67" t="s">
        <v>167</v>
      </c>
      <c r="F125" s="67" t="s">
        <v>168</v>
      </c>
      <c r="G125" s="67" t="s">
        <v>169</v>
      </c>
      <c r="H125" s="67" t="s">
        <v>2</v>
      </c>
      <c r="I125" s="67" t="s">
        <v>170</v>
      </c>
      <c r="J125" s="67" t="s">
        <v>171</v>
      </c>
      <c r="K125" s="68"/>
      <c r="L125" s="68"/>
      <c r="M125" s="68"/>
    </row>
    <row r="126" spans="1:13">
      <c r="A126" s="70" t="s">
        <v>40</v>
      </c>
      <c r="B126" s="131">
        <v>250</v>
      </c>
      <c r="C126" s="131">
        <v>450</v>
      </c>
      <c r="D126" s="131">
        <v>550</v>
      </c>
      <c r="E126" s="131">
        <v>950</v>
      </c>
      <c r="F126" s="131">
        <v>980</v>
      </c>
      <c r="G126" s="131">
        <v>1000</v>
      </c>
      <c r="H126" s="131">
        <v>1450</v>
      </c>
      <c r="I126" s="131">
        <v>1300</v>
      </c>
      <c r="J126" s="131">
        <v>200</v>
      </c>
      <c r="K126" s="68"/>
      <c r="L126" s="68"/>
      <c r="M126" s="68"/>
    </row>
    <row r="127" spans="1:13">
      <c r="A127" s="70" t="s">
        <v>39</v>
      </c>
      <c r="B127" s="131">
        <v>800</v>
      </c>
      <c r="C127" s="131">
        <v>850</v>
      </c>
      <c r="D127" s="131">
        <v>890</v>
      </c>
      <c r="E127" s="131">
        <v>900</v>
      </c>
      <c r="F127" s="131">
        <v>1000</v>
      </c>
      <c r="G127" s="131">
        <v>950</v>
      </c>
      <c r="H127" s="131">
        <v>1100</v>
      </c>
      <c r="I127" s="131">
        <v>1100</v>
      </c>
      <c r="J127" s="131">
        <v>500</v>
      </c>
      <c r="K127" s="68"/>
      <c r="L127" s="68"/>
      <c r="M127" s="68"/>
    </row>
    <row r="128" spans="1:13">
      <c r="A128" s="60" t="s">
        <v>8</v>
      </c>
      <c r="B128" s="133">
        <v>85</v>
      </c>
      <c r="C128" s="133">
        <v>100</v>
      </c>
      <c r="D128" s="133">
        <v>110</v>
      </c>
      <c r="E128" s="133">
        <v>120</v>
      </c>
      <c r="F128" s="133">
        <v>195</v>
      </c>
      <c r="G128" s="133">
        <v>220</v>
      </c>
      <c r="H128" s="131">
        <v>200</v>
      </c>
      <c r="I128" s="133">
        <v>240</v>
      </c>
      <c r="J128" s="133">
        <v>200</v>
      </c>
      <c r="K128" s="68"/>
      <c r="L128" s="68"/>
      <c r="M128" s="68"/>
    </row>
    <row r="129" spans="1:13">
      <c r="A129" s="60" t="s">
        <v>240</v>
      </c>
      <c r="B129" s="131">
        <v>500</v>
      </c>
      <c r="C129" s="131">
        <v>550</v>
      </c>
      <c r="D129" s="131">
        <v>650</v>
      </c>
      <c r="E129" s="131">
        <v>500</v>
      </c>
      <c r="F129" s="131">
        <v>700</v>
      </c>
      <c r="G129" s="131">
        <v>780</v>
      </c>
      <c r="H129" s="131">
        <v>450</v>
      </c>
      <c r="I129" s="131">
        <v>650</v>
      </c>
      <c r="J129" s="131">
        <v>450</v>
      </c>
      <c r="K129" s="68"/>
      <c r="L129" s="68"/>
      <c r="M129" s="68"/>
    </row>
    <row r="130" spans="1:13">
      <c r="A130" s="70" t="s">
        <v>20</v>
      </c>
      <c r="B130" s="131">
        <v>700</v>
      </c>
      <c r="C130" s="131">
        <v>850</v>
      </c>
      <c r="D130" s="131">
        <v>920</v>
      </c>
      <c r="E130" s="131">
        <v>2000</v>
      </c>
      <c r="F130" s="131">
        <v>1000</v>
      </c>
      <c r="G130" s="131">
        <v>1300</v>
      </c>
      <c r="H130" s="131">
        <v>2000</v>
      </c>
      <c r="I130" s="131">
        <v>1300</v>
      </c>
      <c r="J130" s="131">
        <v>2000</v>
      </c>
      <c r="K130" s="68"/>
      <c r="L130" s="68"/>
      <c r="M130" s="68"/>
    </row>
    <row r="131" spans="1:13">
      <c r="A131" s="70" t="s">
        <v>50</v>
      </c>
      <c r="B131" s="131">
        <v>700</v>
      </c>
      <c r="C131" s="131">
        <v>700</v>
      </c>
      <c r="D131" s="131">
        <v>840</v>
      </c>
      <c r="E131" s="131">
        <v>1200</v>
      </c>
      <c r="F131" s="131">
        <v>1000</v>
      </c>
      <c r="G131" s="131">
        <v>900</v>
      </c>
      <c r="H131" s="131">
        <v>850</v>
      </c>
      <c r="I131" s="131">
        <v>900</v>
      </c>
      <c r="J131" s="131">
        <v>500</v>
      </c>
      <c r="K131" s="68"/>
      <c r="L131" s="68"/>
      <c r="M131" s="68"/>
    </row>
    <row r="132" spans="1:13">
      <c r="A132" s="103" t="s">
        <v>179</v>
      </c>
      <c r="B132" s="47"/>
      <c r="C132" s="47"/>
      <c r="D132" s="68"/>
      <c r="E132" s="68"/>
      <c r="F132" s="68"/>
      <c r="G132" s="68"/>
      <c r="H132" s="68"/>
      <c r="I132" s="68"/>
      <c r="J132" s="68"/>
      <c r="K132" s="68"/>
      <c r="L132" s="68"/>
      <c r="M132" s="68"/>
    </row>
    <row r="133" spans="1:13">
      <c r="A133" s="67" t="s">
        <v>38</v>
      </c>
      <c r="B133" s="76" t="s">
        <v>164</v>
      </c>
      <c r="C133" s="81" t="s">
        <v>165</v>
      </c>
      <c r="D133" s="76" t="s">
        <v>166</v>
      </c>
      <c r="E133" s="76" t="s">
        <v>167</v>
      </c>
      <c r="F133" s="76" t="s">
        <v>168</v>
      </c>
      <c r="G133" s="76" t="s">
        <v>169</v>
      </c>
      <c r="H133" s="76" t="s">
        <v>2</v>
      </c>
      <c r="I133" s="76" t="s">
        <v>170</v>
      </c>
      <c r="J133" s="76" t="s">
        <v>171</v>
      </c>
      <c r="K133" s="68"/>
      <c r="L133" s="68"/>
      <c r="M133" s="68"/>
    </row>
    <row r="134" spans="1:13">
      <c r="A134" s="82" t="s">
        <v>40</v>
      </c>
      <c r="B134" s="131">
        <f>H134*0.75</f>
        <v>675</v>
      </c>
      <c r="C134" s="131">
        <f>H134*0.78</f>
        <v>702</v>
      </c>
      <c r="D134" s="131">
        <f>H134*0.82</f>
        <v>738</v>
      </c>
      <c r="E134" s="131">
        <f>H134*1.01</f>
        <v>909</v>
      </c>
      <c r="F134" s="131">
        <f>H134*0.91</f>
        <v>819</v>
      </c>
      <c r="G134" s="131">
        <f>H134*0.98</f>
        <v>882</v>
      </c>
      <c r="H134" s="131">
        <v>900</v>
      </c>
      <c r="I134" s="131">
        <f>H134*1.03</f>
        <v>927</v>
      </c>
      <c r="J134" s="131">
        <f>H134*0.95</f>
        <v>855</v>
      </c>
      <c r="K134" s="68"/>
      <c r="L134" s="68"/>
      <c r="M134" s="68"/>
    </row>
    <row r="135" spans="1:13">
      <c r="A135" s="82" t="s">
        <v>39</v>
      </c>
      <c r="B135" s="131">
        <f t="shared" ref="B135:B139" si="19">H135*0.75</f>
        <v>300</v>
      </c>
      <c r="C135" s="131">
        <f t="shared" ref="C135:C139" si="20">H135*0.78</f>
        <v>312</v>
      </c>
      <c r="D135" s="131">
        <f t="shared" ref="D135:D139" si="21">H135*0.82</f>
        <v>328</v>
      </c>
      <c r="E135" s="131">
        <f t="shared" ref="E135:E139" si="22">H135*1.01</f>
        <v>404</v>
      </c>
      <c r="F135" s="131">
        <f t="shared" ref="F135:F139" si="23">H135*0.91</f>
        <v>364</v>
      </c>
      <c r="G135" s="131">
        <f t="shared" ref="G135:G139" si="24">H135*0.98</f>
        <v>392</v>
      </c>
      <c r="H135" s="131">
        <v>400</v>
      </c>
      <c r="I135" s="131">
        <f t="shared" ref="I135:I139" si="25">H135*1.03</f>
        <v>412</v>
      </c>
      <c r="J135" s="131">
        <f t="shared" ref="J135:J139" si="26">H135*0.95</f>
        <v>380</v>
      </c>
      <c r="K135" s="68"/>
      <c r="L135" s="68"/>
      <c r="M135" s="68"/>
    </row>
    <row r="136" spans="1:13">
      <c r="A136" s="83" t="s">
        <v>8</v>
      </c>
      <c r="B136" s="131">
        <v>150</v>
      </c>
      <c r="C136" s="131">
        <v>156</v>
      </c>
      <c r="D136" s="131">
        <v>164</v>
      </c>
      <c r="E136" s="131">
        <v>202</v>
      </c>
      <c r="F136" s="131">
        <v>182</v>
      </c>
      <c r="G136" s="131">
        <v>196</v>
      </c>
      <c r="H136" s="131">
        <v>200</v>
      </c>
      <c r="I136" s="131">
        <v>206</v>
      </c>
      <c r="J136" s="131">
        <v>190</v>
      </c>
      <c r="K136" s="68"/>
      <c r="L136" s="68"/>
      <c r="M136" s="68"/>
    </row>
    <row r="137" spans="1:13">
      <c r="A137" s="83" t="s">
        <v>180</v>
      </c>
      <c r="B137" s="149">
        <f t="shared" si="19"/>
        <v>315</v>
      </c>
      <c r="C137" s="149">
        <f t="shared" si="20"/>
        <v>327.60000000000002</v>
      </c>
      <c r="D137" s="149">
        <f t="shared" si="21"/>
        <v>344.4</v>
      </c>
      <c r="E137" s="149">
        <f t="shared" si="22"/>
        <v>424.2</v>
      </c>
      <c r="F137" s="149">
        <f t="shared" si="23"/>
        <v>382.2</v>
      </c>
      <c r="G137" s="149">
        <f t="shared" si="24"/>
        <v>411.59999999999997</v>
      </c>
      <c r="H137" s="149">
        <v>420</v>
      </c>
      <c r="I137" s="149">
        <f t="shared" si="25"/>
        <v>432.6</v>
      </c>
      <c r="J137" s="149">
        <f t="shared" si="26"/>
        <v>399</v>
      </c>
      <c r="K137" s="68"/>
      <c r="L137" s="68"/>
      <c r="M137" s="68"/>
    </row>
    <row r="138" spans="1:13">
      <c r="A138" s="82" t="s">
        <v>20</v>
      </c>
      <c r="B138" s="149">
        <f>H138*1.05</f>
        <v>2415</v>
      </c>
      <c r="C138" s="149">
        <f>H138*1.08</f>
        <v>2484</v>
      </c>
      <c r="D138" s="149">
        <f t="shared" si="21"/>
        <v>1886</v>
      </c>
      <c r="E138" s="149">
        <f t="shared" si="22"/>
        <v>2323</v>
      </c>
      <c r="F138" s="149">
        <f t="shared" si="23"/>
        <v>2093</v>
      </c>
      <c r="G138" s="149">
        <f t="shared" si="24"/>
        <v>2254</v>
      </c>
      <c r="H138" s="149">
        <v>2300</v>
      </c>
      <c r="I138" s="149">
        <f t="shared" si="25"/>
        <v>2369</v>
      </c>
      <c r="J138" s="149">
        <f t="shared" si="26"/>
        <v>2185</v>
      </c>
      <c r="K138" s="68"/>
      <c r="L138" s="68"/>
      <c r="M138" s="68"/>
    </row>
    <row r="139" spans="1:13">
      <c r="A139" s="82" t="s">
        <v>50</v>
      </c>
      <c r="B139" s="149">
        <f t="shared" si="19"/>
        <v>562.5</v>
      </c>
      <c r="C139" s="149">
        <f t="shared" si="20"/>
        <v>585</v>
      </c>
      <c r="D139" s="149">
        <f t="shared" si="21"/>
        <v>615</v>
      </c>
      <c r="E139" s="149">
        <f t="shared" si="22"/>
        <v>757.5</v>
      </c>
      <c r="F139" s="149">
        <f t="shared" si="23"/>
        <v>682.5</v>
      </c>
      <c r="G139" s="149">
        <f t="shared" si="24"/>
        <v>735</v>
      </c>
      <c r="H139" s="149">
        <v>750</v>
      </c>
      <c r="I139" s="149">
        <f t="shared" si="25"/>
        <v>772.5</v>
      </c>
      <c r="J139" s="149">
        <f t="shared" si="26"/>
        <v>712.5</v>
      </c>
      <c r="K139" s="68"/>
      <c r="L139" s="68"/>
      <c r="M139" s="68"/>
    </row>
    <row r="140" spans="1:13">
      <c r="A140" s="103" t="s">
        <v>181</v>
      </c>
      <c r="B140" s="47"/>
      <c r="C140" s="47"/>
      <c r="D140" s="47"/>
      <c r="E140" s="47"/>
      <c r="F140" s="47"/>
      <c r="G140" s="68"/>
      <c r="H140" s="68"/>
      <c r="I140" s="68"/>
      <c r="J140" s="68"/>
      <c r="K140" s="68"/>
      <c r="L140" s="68"/>
      <c r="M140" s="68"/>
    </row>
    <row r="141" spans="1:13">
      <c r="A141" s="67" t="s">
        <v>163</v>
      </c>
      <c r="B141" s="76" t="s">
        <v>164</v>
      </c>
      <c r="C141" s="81" t="s">
        <v>165</v>
      </c>
      <c r="D141" s="76" t="s">
        <v>166</v>
      </c>
      <c r="E141" s="76" t="s">
        <v>167</v>
      </c>
      <c r="F141" s="76" t="s">
        <v>168</v>
      </c>
      <c r="G141" s="76" t="s">
        <v>169</v>
      </c>
      <c r="H141" s="76" t="s">
        <v>2</v>
      </c>
      <c r="I141" s="76" t="s">
        <v>170</v>
      </c>
      <c r="J141" s="76" t="s">
        <v>171</v>
      </c>
      <c r="K141" s="68"/>
      <c r="L141" s="68"/>
      <c r="M141" s="68"/>
    </row>
    <row r="142" spans="1:13">
      <c r="A142" s="70" t="s">
        <v>21</v>
      </c>
      <c r="B142" s="66">
        <v>23</v>
      </c>
      <c r="C142" s="66">
        <v>28</v>
      </c>
      <c r="D142" s="66">
        <v>30</v>
      </c>
      <c r="E142" s="66">
        <v>35</v>
      </c>
      <c r="F142" s="66">
        <v>40</v>
      </c>
      <c r="G142" s="66">
        <v>45</v>
      </c>
      <c r="H142" s="66">
        <v>48</v>
      </c>
      <c r="I142" s="66">
        <v>50</v>
      </c>
      <c r="J142" s="66">
        <v>55</v>
      </c>
      <c r="K142" s="68"/>
      <c r="L142" s="68"/>
      <c r="M142" s="68"/>
    </row>
    <row r="143" spans="1:13">
      <c r="A143" s="70" t="s">
        <v>22</v>
      </c>
      <c r="B143" s="66">
        <v>29.62</v>
      </c>
      <c r="C143" s="66">
        <v>32.9</v>
      </c>
      <c r="D143" s="66">
        <v>34.5</v>
      </c>
      <c r="E143" s="66">
        <v>38.5</v>
      </c>
      <c r="F143" s="66">
        <v>42</v>
      </c>
      <c r="G143" s="66">
        <v>46.35</v>
      </c>
      <c r="H143" s="66">
        <v>48.68</v>
      </c>
      <c r="I143" s="66">
        <v>51</v>
      </c>
      <c r="J143" s="66">
        <v>55.55</v>
      </c>
      <c r="K143" s="68"/>
      <c r="L143" s="68"/>
      <c r="M143" s="68"/>
    </row>
    <row r="144" spans="1:13" ht="30">
      <c r="A144" s="60" t="s">
        <v>23</v>
      </c>
      <c r="B144" s="66">
        <v>3.21</v>
      </c>
      <c r="C144" s="66">
        <v>3.68</v>
      </c>
      <c r="D144" s="66">
        <v>3.86</v>
      </c>
      <c r="E144" s="66">
        <v>4.38</v>
      </c>
      <c r="F144" s="66">
        <v>4.84</v>
      </c>
      <c r="G144" s="66">
        <v>4.4000000000000004</v>
      </c>
      <c r="H144" s="66">
        <v>5.61</v>
      </c>
      <c r="I144" s="66">
        <v>5.77</v>
      </c>
      <c r="J144" s="66">
        <v>5.95</v>
      </c>
      <c r="K144" s="68"/>
      <c r="L144" s="68"/>
      <c r="M144" s="68"/>
    </row>
    <row r="145" spans="1:14">
      <c r="A145" s="103" t="s">
        <v>182</v>
      </c>
      <c r="B145" s="47"/>
      <c r="C145" s="47"/>
      <c r="D145" s="68"/>
      <c r="E145" s="68"/>
      <c r="F145" s="68"/>
      <c r="G145" s="68"/>
      <c r="H145" s="68"/>
      <c r="I145" s="68"/>
      <c r="J145" s="68"/>
      <c r="K145" s="68"/>
      <c r="L145" s="68"/>
      <c r="M145" s="68"/>
    </row>
    <row r="146" spans="1:14">
      <c r="A146" s="67" t="s">
        <v>163</v>
      </c>
      <c r="B146" s="76" t="s">
        <v>164</v>
      </c>
      <c r="C146" s="81" t="s">
        <v>165</v>
      </c>
      <c r="D146" s="76" t="s">
        <v>166</v>
      </c>
      <c r="E146" s="76" t="s">
        <v>167</v>
      </c>
      <c r="F146" s="76" t="s">
        <v>168</v>
      </c>
      <c r="G146" s="76" t="s">
        <v>169</v>
      </c>
      <c r="H146" s="76" t="s">
        <v>2</v>
      </c>
      <c r="I146" s="76" t="s">
        <v>170</v>
      </c>
      <c r="J146" s="76" t="s">
        <v>171</v>
      </c>
      <c r="K146" s="68"/>
      <c r="L146" s="68"/>
      <c r="M146" s="68"/>
    </row>
    <row r="147" spans="1:14" ht="30">
      <c r="A147" s="83" t="s">
        <v>24</v>
      </c>
      <c r="B147" s="66">
        <v>1.5</v>
      </c>
      <c r="C147" s="66">
        <v>1.6</v>
      </c>
      <c r="D147" s="66">
        <v>1.7</v>
      </c>
      <c r="E147" s="66">
        <v>1.8</v>
      </c>
      <c r="F147" s="66">
        <v>2</v>
      </c>
      <c r="G147" s="66">
        <v>2.1</v>
      </c>
      <c r="H147" s="66">
        <v>2.4</v>
      </c>
      <c r="I147" s="66">
        <v>2.5</v>
      </c>
      <c r="J147" s="66">
        <v>2.4</v>
      </c>
      <c r="K147" s="68"/>
      <c r="L147" s="68"/>
      <c r="M147" s="68"/>
    </row>
    <row r="148" spans="1:14">
      <c r="A148" s="82" t="s">
        <v>22</v>
      </c>
      <c r="B148" s="66">
        <v>16.899999999999999</v>
      </c>
      <c r="C148" s="66">
        <v>17.399999999999999</v>
      </c>
      <c r="D148" s="66">
        <v>18</v>
      </c>
      <c r="E148" s="66">
        <v>18.600000000000001</v>
      </c>
      <c r="F148" s="66">
        <v>19.8</v>
      </c>
      <c r="G148" s="66">
        <v>20.6</v>
      </c>
      <c r="H148" s="66">
        <v>22.6</v>
      </c>
      <c r="I148" s="66">
        <v>23.2</v>
      </c>
      <c r="J148" s="88">
        <v>22.6</v>
      </c>
      <c r="K148" s="68"/>
      <c r="L148" s="68"/>
      <c r="M148" s="68"/>
    </row>
    <row r="149" spans="1:14" ht="30">
      <c r="A149" s="83" t="s">
        <v>23</v>
      </c>
      <c r="B149" s="66">
        <v>1.66</v>
      </c>
      <c r="C149" s="66">
        <v>1.72</v>
      </c>
      <c r="D149" s="66">
        <v>1.8</v>
      </c>
      <c r="E149" s="66">
        <v>1.88</v>
      </c>
      <c r="F149" s="66">
        <v>2.04</v>
      </c>
      <c r="G149" s="66">
        <v>2.14</v>
      </c>
      <c r="H149" s="66">
        <v>2.42</v>
      </c>
      <c r="I149" s="66">
        <v>2.5099999999999998</v>
      </c>
      <c r="J149" s="88">
        <v>2.42</v>
      </c>
      <c r="K149" s="68"/>
      <c r="L149" s="68"/>
      <c r="M149" s="68"/>
    </row>
    <row r="150" spans="1:14">
      <c r="A150" s="103" t="s">
        <v>183</v>
      </c>
      <c r="B150" s="47"/>
      <c r="C150" s="47"/>
      <c r="D150" s="78"/>
      <c r="E150" s="68"/>
      <c r="F150" s="68"/>
      <c r="G150" s="68"/>
      <c r="H150" s="68"/>
      <c r="I150" s="68"/>
      <c r="J150" s="68"/>
      <c r="K150" s="68"/>
      <c r="L150" s="68"/>
      <c r="M150" s="68"/>
    </row>
    <row r="151" spans="1:14">
      <c r="A151" s="151" t="s">
        <v>21</v>
      </c>
      <c r="B151" s="151" t="s">
        <v>25</v>
      </c>
      <c r="C151" s="151"/>
      <c r="D151" s="152" t="s">
        <v>70</v>
      </c>
      <c r="E151" s="152"/>
      <c r="F151" s="151" t="s">
        <v>29</v>
      </c>
      <c r="G151" s="151"/>
      <c r="H151" s="151" t="s">
        <v>30</v>
      </c>
      <c r="I151" s="151"/>
      <c r="J151" s="151" t="s">
        <v>184</v>
      </c>
      <c r="K151" s="151"/>
      <c r="L151" s="151" t="s">
        <v>31</v>
      </c>
      <c r="M151" s="151"/>
    </row>
    <row r="152" spans="1:14">
      <c r="A152" s="151"/>
      <c r="B152" s="84" t="s">
        <v>26</v>
      </c>
      <c r="C152" s="84" t="s">
        <v>27</v>
      </c>
      <c r="D152" s="84" t="s">
        <v>26</v>
      </c>
      <c r="E152" s="84" t="s">
        <v>27</v>
      </c>
      <c r="F152" s="84" t="s">
        <v>26</v>
      </c>
      <c r="G152" s="84" t="s">
        <v>27</v>
      </c>
      <c r="H152" s="84" t="s">
        <v>26</v>
      </c>
      <c r="I152" s="84" t="s">
        <v>27</v>
      </c>
      <c r="J152" s="84" t="s">
        <v>26</v>
      </c>
      <c r="K152" s="84" t="s">
        <v>27</v>
      </c>
      <c r="L152" s="84" t="s">
        <v>26</v>
      </c>
      <c r="M152" s="84" t="s">
        <v>27</v>
      </c>
    </row>
    <row r="153" spans="1:14">
      <c r="A153" s="84">
        <v>23</v>
      </c>
      <c r="B153" s="84">
        <f>C153-3</f>
        <v>11</v>
      </c>
      <c r="C153" s="84">
        <v>14</v>
      </c>
      <c r="D153" s="84">
        <f>E153-3</f>
        <v>10</v>
      </c>
      <c r="E153" s="84">
        <v>13</v>
      </c>
      <c r="F153" s="84">
        <f>G153-3</f>
        <v>11</v>
      </c>
      <c r="G153" s="84">
        <v>14</v>
      </c>
      <c r="H153" s="84">
        <f>I153-3</f>
        <v>24</v>
      </c>
      <c r="I153" s="84">
        <v>27</v>
      </c>
      <c r="J153" s="84">
        <v>1</v>
      </c>
      <c r="K153" s="84">
        <v>2</v>
      </c>
      <c r="L153" s="84">
        <f>M153-4</f>
        <v>26</v>
      </c>
      <c r="M153" s="84">
        <v>30</v>
      </c>
      <c r="N153">
        <f t="shared" ref="N153:N161" si="27">C153+E153+G153+I153+K153+M153</f>
        <v>100</v>
      </c>
    </row>
    <row r="154" spans="1:14">
      <c r="A154" s="84">
        <v>28</v>
      </c>
      <c r="B154" s="84">
        <f t="shared" ref="B154:B161" si="28">C154-3</f>
        <v>13</v>
      </c>
      <c r="C154" s="84">
        <v>16</v>
      </c>
      <c r="D154" s="84">
        <f t="shared" ref="D154:D161" si="29">E154-3</f>
        <v>10</v>
      </c>
      <c r="E154" s="84">
        <v>13</v>
      </c>
      <c r="F154" s="84">
        <f t="shared" ref="F154:F161" si="30">G154-3</f>
        <v>11</v>
      </c>
      <c r="G154" s="84">
        <v>14</v>
      </c>
      <c r="H154" s="84">
        <f t="shared" ref="H154:H161" si="31">I154-3</f>
        <v>23</v>
      </c>
      <c r="I154" s="84">
        <v>26</v>
      </c>
      <c r="J154" s="84">
        <v>1</v>
      </c>
      <c r="K154" s="84">
        <v>2</v>
      </c>
      <c r="L154" s="84">
        <f t="shared" ref="L154:L161" si="32">M154-4</f>
        <v>25</v>
      </c>
      <c r="M154" s="84">
        <v>29</v>
      </c>
      <c r="N154">
        <f t="shared" si="27"/>
        <v>100</v>
      </c>
    </row>
    <row r="155" spans="1:14">
      <c r="A155" s="84">
        <v>30</v>
      </c>
      <c r="B155" s="84">
        <f t="shared" si="28"/>
        <v>15</v>
      </c>
      <c r="C155" s="84">
        <v>18</v>
      </c>
      <c r="D155" s="84">
        <f t="shared" si="29"/>
        <v>10</v>
      </c>
      <c r="E155" s="84">
        <v>13</v>
      </c>
      <c r="F155" s="84">
        <f t="shared" si="30"/>
        <v>11</v>
      </c>
      <c r="G155" s="84">
        <v>14</v>
      </c>
      <c r="H155" s="84">
        <f t="shared" si="31"/>
        <v>21</v>
      </c>
      <c r="I155" s="84">
        <v>24</v>
      </c>
      <c r="J155" s="84">
        <v>2</v>
      </c>
      <c r="K155" s="84">
        <v>3</v>
      </c>
      <c r="L155" s="84">
        <f t="shared" si="32"/>
        <v>24</v>
      </c>
      <c r="M155" s="84">
        <v>28</v>
      </c>
      <c r="N155">
        <f t="shared" si="27"/>
        <v>100</v>
      </c>
    </row>
    <row r="156" spans="1:14">
      <c r="A156" s="84">
        <v>35</v>
      </c>
      <c r="B156" s="84">
        <f t="shared" si="28"/>
        <v>19</v>
      </c>
      <c r="C156" s="84">
        <v>22</v>
      </c>
      <c r="D156" s="84">
        <f t="shared" si="29"/>
        <v>10</v>
      </c>
      <c r="E156" s="84">
        <v>13</v>
      </c>
      <c r="F156" s="84">
        <f t="shared" si="30"/>
        <v>11</v>
      </c>
      <c r="G156" s="84">
        <v>14</v>
      </c>
      <c r="H156" s="84">
        <f t="shared" si="31"/>
        <v>17</v>
      </c>
      <c r="I156" s="84">
        <v>20</v>
      </c>
      <c r="J156" s="84">
        <v>2</v>
      </c>
      <c r="K156" s="84">
        <v>4</v>
      </c>
      <c r="L156" s="84">
        <f t="shared" si="32"/>
        <v>23</v>
      </c>
      <c r="M156" s="84">
        <v>27</v>
      </c>
      <c r="N156">
        <f t="shared" si="27"/>
        <v>100</v>
      </c>
    </row>
    <row r="157" spans="1:14">
      <c r="A157" s="84">
        <v>40</v>
      </c>
      <c r="B157" s="84">
        <f t="shared" si="28"/>
        <v>22</v>
      </c>
      <c r="C157" s="84">
        <v>25</v>
      </c>
      <c r="D157" s="84">
        <f t="shared" si="29"/>
        <v>10</v>
      </c>
      <c r="E157" s="84">
        <v>13</v>
      </c>
      <c r="F157" s="84">
        <f t="shared" si="30"/>
        <v>11</v>
      </c>
      <c r="G157" s="84">
        <v>14</v>
      </c>
      <c r="H157" s="84">
        <f t="shared" si="31"/>
        <v>14</v>
      </c>
      <c r="I157" s="84">
        <v>17</v>
      </c>
      <c r="J157" s="84">
        <v>2</v>
      </c>
      <c r="K157" s="84">
        <v>5</v>
      </c>
      <c r="L157" s="84">
        <f t="shared" si="32"/>
        <v>22</v>
      </c>
      <c r="M157" s="84">
        <v>26</v>
      </c>
      <c r="N157">
        <f t="shared" si="27"/>
        <v>100</v>
      </c>
    </row>
    <row r="158" spans="1:14">
      <c r="A158" s="84">
        <v>45</v>
      </c>
      <c r="B158" s="84">
        <f t="shared" si="28"/>
        <v>27</v>
      </c>
      <c r="C158" s="84">
        <v>30</v>
      </c>
      <c r="D158" s="84">
        <f t="shared" si="29"/>
        <v>9</v>
      </c>
      <c r="E158" s="84">
        <v>12</v>
      </c>
      <c r="F158" s="84">
        <f t="shared" si="30"/>
        <v>10</v>
      </c>
      <c r="G158" s="84">
        <v>13</v>
      </c>
      <c r="H158" s="84">
        <f t="shared" si="31"/>
        <v>11</v>
      </c>
      <c r="I158" s="84">
        <v>14</v>
      </c>
      <c r="J158" s="84">
        <v>4</v>
      </c>
      <c r="K158" s="84">
        <v>6</v>
      </c>
      <c r="L158" s="84">
        <f t="shared" si="32"/>
        <v>21</v>
      </c>
      <c r="M158" s="84">
        <v>25</v>
      </c>
      <c r="N158">
        <f t="shared" si="27"/>
        <v>100</v>
      </c>
    </row>
    <row r="159" spans="1:14">
      <c r="A159" s="84">
        <v>48</v>
      </c>
      <c r="B159" s="84">
        <f t="shared" si="28"/>
        <v>29</v>
      </c>
      <c r="C159" s="84">
        <v>32</v>
      </c>
      <c r="D159" s="84">
        <f t="shared" si="29"/>
        <v>8</v>
      </c>
      <c r="E159" s="84">
        <v>11</v>
      </c>
      <c r="F159" s="84">
        <f t="shared" si="30"/>
        <v>9</v>
      </c>
      <c r="G159" s="84">
        <v>12</v>
      </c>
      <c r="H159" s="84">
        <f t="shared" si="31"/>
        <v>10</v>
      </c>
      <c r="I159" s="84">
        <v>13</v>
      </c>
      <c r="J159" s="84">
        <v>5</v>
      </c>
      <c r="K159" s="84">
        <v>7</v>
      </c>
      <c r="L159" s="84">
        <f t="shared" si="32"/>
        <v>21</v>
      </c>
      <c r="M159" s="84">
        <v>25</v>
      </c>
      <c r="N159">
        <f t="shared" si="27"/>
        <v>100</v>
      </c>
    </row>
    <row r="160" spans="1:14">
      <c r="A160" s="84">
        <v>50</v>
      </c>
      <c r="B160" s="84">
        <f t="shared" si="28"/>
        <v>32</v>
      </c>
      <c r="C160" s="84">
        <v>35</v>
      </c>
      <c r="D160" s="84">
        <f t="shared" si="29"/>
        <v>8</v>
      </c>
      <c r="E160" s="84">
        <v>11</v>
      </c>
      <c r="F160" s="84">
        <f t="shared" si="30"/>
        <v>10</v>
      </c>
      <c r="G160" s="84">
        <v>13</v>
      </c>
      <c r="H160" s="84">
        <f t="shared" si="31"/>
        <v>7</v>
      </c>
      <c r="I160" s="84">
        <v>10</v>
      </c>
      <c r="J160" s="84">
        <v>5</v>
      </c>
      <c r="K160" s="84">
        <v>7</v>
      </c>
      <c r="L160" s="84">
        <f t="shared" si="32"/>
        <v>20</v>
      </c>
      <c r="M160" s="84">
        <v>24</v>
      </c>
      <c r="N160">
        <f t="shared" si="27"/>
        <v>100</v>
      </c>
    </row>
    <row r="161" spans="1:14">
      <c r="A161" s="84">
        <v>55</v>
      </c>
      <c r="B161" s="84">
        <f t="shared" si="28"/>
        <v>34</v>
      </c>
      <c r="C161" s="84">
        <v>37</v>
      </c>
      <c r="D161" s="84">
        <f t="shared" si="29"/>
        <v>8</v>
      </c>
      <c r="E161" s="84">
        <v>11</v>
      </c>
      <c r="F161" s="84">
        <f t="shared" si="30"/>
        <v>9</v>
      </c>
      <c r="G161" s="84">
        <v>12</v>
      </c>
      <c r="H161" s="84">
        <f t="shared" si="31"/>
        <v>5</v>
      </c>
      <c r="I161" s="84">
        <v>8</v>
      </c>
      <c r="J161" s="84">
        <v>6</v>
      </c>
      <c r="K161" s="84">
        <v>8</v>
      </c>
      <c r="L161" s="84">
        <f t="shared" si="32"/>
        <v>20</v>
      </c>
      <c r="M161" s="84">
        <v>24</v>
      </c>
      <c r="N161">
        <f t="shared" si="27"/>
        <v>100</v>
      </c>
    </row>
    <row r="162" spans="1:14">
      <c r="A162" s="116" t="s">
        <v>187</v>
      </c>
      <c r="B162" s="37"/>
      <c r="C162" s="37"/>
      <c r="D162" s="90"/>
      <c r="E162" s="91"/>
      <c r="F162" s="91"/>
      <c r="G162" s="91"/>
      <c r="H162" s="91"/>
      <c r="I162" s="91"/>
      <c r="J162" s="91"/>
      <c r="K162" s="91"/>
      <c r="L162" s="91"/>
      <c r="M162" s="89"/>
    </row>
    <row r="163" spans="1:14" ht="29.25" customHeight="1">
      <c r="A163" s="151" t="s">
        <v>24</v>
      </c>
      <c r="B163" s="151" t="s">
        <v>25</v>
      </c>
      <c r="C163" s="151"/>
      <c r="D163" s="150" t="s">
        <v>70</v>
      </c>
      <c r="E163" s="150"/>
      <c r="F163" s="151" t="s">
        <v>29</v>
      </c>
      <c r="G163" s="151"/>
      <c r="H163" s="151" t="s">
        <v>185</v>
      </c>
      <c r="I163" s="151"/>
      <c r="J163" s="151" t="s">
        <v>33</v>
      </c>
      <c r="K163" s="151"/>
      <c r="L163" s="151" t="s">
        <v>31</v>
      </c>
      <c r="M163" s="151"/>
    </row>
    <row r="164" spans="1:14">
      <c r="A164" s="151"/>
      <c r="B164" s="84" t="s">
        <v>26</v>
      </c>
      <c r="C164" s="84" t="s">
        <v>27</v>
      </c>
      <c r="D164" s="84" t="s">
        <v>26</v>
      </c>
      <c r="E164" s="84" t="s">
        <v>27</v>
      </c>
      <c r="F164" s="84" t="s">
        <v>26</v>
      </c>
      <c r="G164" s="84" t="s">
        <v>27</v>
      </c>
      <c r="H164" s="84" t="s">
        <v>26</v>
      </c>
      <c r="I164" s="84" t="s">
        <v>27</v>
      </c>
      <c r="J164" s="84" t="s">
        <v>26</v>
      </c>
      <c r="K164" s="84" t="s">
        <v>27</v>
      </c>
      <c r="L164" s="84" t="s">
        <v>26</v>
      </c>
      <c r="M164" s="84" t="s">
        <v>27</v>
      </c>
    </row>
    <row r="165" spans="1:14">
      <c r="A165" s="56">
        <v>1.5</v>
      </c>
      <c r="B165" s="85">
        <v>19</v>
      </c>
      <c r="C165" s="85">
        <v>24</v>
      </c>
      <c r="D165" s="85">
        <f>E165-4</f>
        <v>12</v>
      </c>
      <c r="E165" s="85">
        <v>16</v>
      </c>
      <c r="F165" s="87">
        <f>G165-3</f>
        <v>7</v>
      </c>
      <c r="G165" s="92">
        <v>10</v>
      </c>
      <c r="H165" s="85">
        <v>14</v>
      </c>
      <c r="I165" s="85">
        <v>19</v>
      </c>
      <c r="J165" s="85">
        <v>2</v>
      </c>
      <c r="K165" s="85">
        <v>4</v>
      </c>
      <c r="L165" s="85">
        <v>22</v>
      </c>
      <c r="M165" s="85">
        <v>27</v>
      </c>
      <c r="N165">
        <f t="shared" ref="N165:N173" si="33">C165+E165+G165+I165+K165+M165</f>
        <v>100</v>
      </c>
    </row>
    <row r="166" spans="1:14">
      <c r="A166" s="86">
        <v>1.6</v>
      </c>
      <c r="B166" s="85">
        <v>20</v>
      </c>
      <c r="C166" s="85">
        <v>25</v>
      </c>
      <c r="D166" s="85">
        <f t="shared" ref="D166:D173" si="34">E166-4</f>
        <v>12</v>
      </c>
      <c r="E166" s="85">
        <v>16</v>
      </c>
      <c r="F166" s="87">
        <f t="shared" ref="F166:F173" si="35">G166-3</f>
        <v>7</v>
      </c>
      <c r="G166" s="92">
        <v>10</v>
      </c>
      <c r="H166" s="85">
        <v>14</v>
      </c>
      <c r="I166" s="85">
        <v>19</v>
      </c>
      <c r="J166" s="85">
        <v>3</v>
      </c>
      <c r="K166" s="85">
        <v>5</v>
      </c>
      <c r="L166" s="85">
        <v>20</v>
      </c>
      <c r="M166" s="85">
        <v>25</v>
      </c>
      <c r="N166">
        <f t="shared" si="33"/>
        <v>100</v>
      </c>
    </row>
    <row r="167" spans="1:14">
      <c r="A167" s="86">
        <v>1.7</v>
      </c>
      <c r="B167" s="85">
        <v>20</v>
      </c>
      <c r="C167" s="85">
        <v>25</v>
      </c>
      <c r="D167" s="85">
        <f t="shared" si="34"/>
        <v>12</v>
      </c>
      <c r="E167" s="85">
        <v>16</v>
      </c>
      <c r="F167" s="87">
        <f t="shared" si="35"/>
        <v>7</v>
      </c>
      <c r="G167" s="92">
        <v>10</v>
      </c>
      <c r="H167" s="85">
        <v>14</v>
      </c>
      <c r="I167" s="85">
        <v>19</v>
      </c>
      <c r="J167" s="85">
        <v>3</v>
      </c>
      <c r="K167" s="85">
        <v>5</v>
      </c>
      <c r="L167" s="85">
        <v>20</v>
      </c>
      <c r="M167" s="85">
        <v>25</v>
      </c>
      <c r="N167">
        <f t="shared" si="33"/>
        <v>100</v>
      </c>
    </row>
    <row r="168" spans="1:14">
      <c r="A168" s="86">
        <v>1.8</v>
      </c>
      <c r="B168" s="85">
        <v>20</v>
      </c>
      <c r="C168" s="85">
        <v>25</v>
      </c>
      <c r="D168" s="85">
        <f t="shared" si="34"/>
        <v>12</v>
      </c>
      <c r="E168" s="85">
        <v>16</v>
      </c>
      <c r="F168" s="87">
        <f t="shared" si="35"/>
        <v>7</v>
      </c>
      <c r="G168" s="92">
        <v>10</v>
      </c>
      <c r="H168" s="85">
        <v>14</v>
      </c>
      <c r="I168" s="85">
        <v>19</v>
      </c>
      <c r="J168" s="85">
        <v>3</v>
      </c>
      <c r="K168" s="85">
        <v>5</v>
      </c>
      <c r="L168" s="85">
        <v>20</v>
      </c>
      <c r="M168" s="85">
        <v>25</v>
      </c>
      <c r="N168">
        <f t="shared" si="33"/>
        <v>100</v>
      </c>
    </row>
    <row r="169" spans="1:14">
      <c r="A169" s="86">
        <v>2</v>
      </c>
      <c r="B169" s="85">
        <v>21</v>
      </c>
      <c r="C169" s="85">
        <v>26</v>
      </c>
      <c r="D169" s="85">
        <f t="shared" si="34"/>
        <v>10</v>
      </c>
      <c r="E169" s="85">
        <v>14</v>
      </c>
      <c r="F169" s="87">
        <f t="shared" si="35"/>
        <v>8</v>
      </c>
      <c r="G169" s="92">
        <v>11</v>
      </c>
      <c r="H169" s="85">
        <v>15</v>
      </c>
      <c r="I169" s="85">
        <v>20</v>
      </c>
      <c r="J169" s="85">
        <v>3</v>
      </c>
      <c r="K169" s="85">
        <v>5</v>
      </c>
      <c r="L169" s="85">
        <v>19</v>
      </c>
      <c r="M169" s="85">
        <v>24</v>
      </c>
      <c r="N169">
        <f t="shared" si="33"/>
        <v>100</v>
      </c>
    </row>
    <row r="170" spans="1:14">
      <c r="A170" s="86">
        <v>2.1</v>
      </c>
      <c r="B170" s="85">
        <v>22</v>
      </c>
      <c r="C170" s="85">
        <v>27</v>
      </c>
      <c r="D170" s="85">
        <f t="shared" si="34"/>
        <v>8</v>
      </c>
      <c r="E170" s="85">
        <v>12</v>
      </c>
      <c r="F170" s="87">
        <f t="shared" si="35"/>
        <v>9</v>
      </c>
      <c r="G170" s="92">
        <v>12</v>
      </c>
      <c r="H170" s="85">
        <v>15</v>
      </c>
      <c r="I170" s="85">
        <v>20</v>
      </c>
      <c r="J170" s="85">
        <v>2</v>
      </c>
      <c r="K170" s="85">
        <v>6</v>
      </c>
      <c r="L170" s="85">
        <v>18</v>
      </c>
      <c r="M170" s="85">
        <v>23</v>
      </c>
      <c r="N170">
        <f t="shared" si="33"/>
        <v>100</v>
      </c>
    </row>
    <row r="171" spans="1:14">
      <c r="A171" s="86">
        <v>2.4</v>
      </c>
      <c r="B171" s="85">
        <v>23</v>
      </c>
      <c r="C171" s="85">
        <v>28</v>
      </c>
      <c r="D171" s="85">
        <f t="shared" si="34"/>
        <v>7</v>
      </c>
      <c r="E171" s="85">
        <v>11</v>
      </c>
      <c r="F171" s="87">
        <f t="shared" si="35"/>
        <v>9</v>
      </c>
      <c r="G171" s="92">
        <v>12</v>
      </c>
      <c r="H171" s="85">
        <v>17</v>
      </c>
      <c r="I171" s="85">
        <v>22</v>
      </c>
      <c r="J171" s="85">
        <v>2</v>
      </c>
      <c r="K171" s="85">
        <v>6</v>
      </c>
      <c r="L171" s="85">
        <v>16</v>
      </c>
      <c r="M171" s="85">
        <v>21</v>
      </c>
      <c r="N171">
        <f t="shared" si="33"/>
        <v>100</v>
      </c>
    </row>
    <row r="172" spans="1:14">
      <c r="A172" s="86">
        <v>2.5</v>
      </c>
      <c r="B172" s="84">
        <v>23</v>
      </c>
      <c r="C172" s="84">
        <v>29</v>
      </c>
      <c r="D172" s="85">
        <f t="shared" si="34"/>
        <v>7</v>
      </c>
      <c r="E172" s="84">
        <v>11</v>
      </c>
      <c r="F172" s="87">
        <f t="shared" si="35"/>
        <v>9</v>
      </c>
      <c r="G172" s="92">
        <v>12</v>
      </c>
      <c r="H172" s="85">
        <v>17</v>
      </c>
      <c r="I172" s="85">
        <v>22</v>
      </c>
      <c r="J172" s="85">
        <v>2</v>
      </c>
      <c r="K172" s="85">
        <v>6</v>
      </c>
      <c r="L172" s="84">
        <v>15</v>
      </c>
      <c r="M172" s="84">
        <v>20</v>
      </c>
      <c r="N172">
        <f t="shared" si="33"/>
        <v>100</v>
      </c>
    </row>
    <row r="173" spans="1:14">
      <c r="A173" s="86">
        <v>2.4</v>
      </c>
      <c r="B173" s="85">
        <v>24</v>
      </c>
      <c r="C173" s="84">
        <v>29</v>
      </c>
      <c r="D173" s="85">
        <f t="shared" si="34"/>
        <v>7</v>
      </c>
      <c r="E173" s="84">
        <v>11</v>
      </c>
      <c r="F173" s="87">
        <f t="shared" si="35"/>
        <v>9</v>
      </c>
      <c r="G173" s="92">
        <v>12</v>
      </c>
      <c r="H173" s="85">
        <v>17</v>
      </c>
      <c r="I173" s="85">
        <v>22</v>
      </c>
      <c r="J173" s="85">
        <v>2</v>
      </c>
      <c r="K173" s="85">
        <v>6</v>
      </c>
      <c r="L173" s="84">
        <v>15</v>
      </c>
      <c r="M173" s="84">
        <v>20</v>
      </c>
      <c r="N173">
        <f t="shared" si="33"/>
        <v>100</v>
      </c>
    </row>
    <row r="174" spans="1:14">
      <c r="A174" s="103" t="s">
        <v>158</v>
      </c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</row>
    <row r="175" spans="1:14" ht="30">
      <c r="A175" s="60" t="s">
        <v>159</v>
      </c>
      <c r="B175" s="66" t="s">
        <v>125</v>
      </c>
      <c r="C175" s="67">
        <v>25</v>
      </c>
      <c r="D175" s="47"/>
      <c r="E175" s="47"/>
      <c r="F175" s="47"/>
      <c r="G175" s="47"/>
      <c r="H175" s="47"/>
      <c r="I175" s="47"/>
      <c r="J175" s="47"/>
      <c r="K175" s="47"/>
      <c r="L175" s="47"/>
      <c r="M175" s="47"/>
    </row>
    <row r="176" spans="1:14" ht="30">
      <c r="A176" s="60" t="s">
        <v>160</v>
      </c>
      <c r="B176" s="66" t="s">
        <v>125</v>
      </c>
      <c r="C176" s="67">
        <v>30</v>
      </c>
      <c r="D176" s="47"/>
      <c r="E176" s="47"/>
      <c r="F176" s="47"/>
      <c r="G176" s="47"/>
      <c r="H176" s="47"/>
      <c r="I176" s="47"/>
      <c r="J176" s="47"/>
      <c r="K176" s="47"/>
      <c r="L176" s="47"/>
      <c r="M176" s="47"/>
    </row>
    <row r="177" spans="1:13" ht="60">
      <c r="A177" s="60" t="s">
        <v>161</v>
      </c>
      <c r="B177" s="66" t="s">
        <v>125</v>
      </c>
      <c r="C177" s="67">
        <v>30</v>
      </c>
      <c r="D177" s="47"/>
      <c r="E177" s="47"/>
      <c r="F177" s="47"/>
      <c r="G177" s="47"/>
      <c r="H177" s="47"/>
      <c r="I177" s="47"/>
      <c r="J177" s="47"/>
      <c r="K177" s="47"/>
      <c r="L177" s="47"/>
      <c r="M177" s="47"/>
    </row>
    <row r="178" spans="1:13">
      <c r="A178" s="100" t="s">
        <v>189</v>
      </c>
    </row>
    <row r="179" spans="1:13">
      <c r="A179" s="59" t="s">
        <v>11</v>
      </c>
      <c r="B179" s="98">
        <v>2</v>
      </c>
    </row>
    <row r="180" spans="1:13">
      <c r="A180" s="59" t="s">
        <v>12</v>
      </c>
      <c r="B180" s="98">
        <v>2.2000000000000002</v>
      </c>
    </row>
    <row r="181" spans="1:13">
      <c r="A181" s="59" t="s">
        <v>13</v>
      </c>
      <c r="B181" s="98">
        <v>35</v>
      </c>
    </row>
    <row r="182" spans="1:13">
      <c r="A182" s="100" t="s">
        <v>188</v>
      </c>
      <c r="B182" s="99"/>
    </row>
    <row r="183" spans="1:13">
      <c r="A183" s="101" t="s">
        <v>190</v>
      </c>
      <c r="B183" s="98">
        <v>20</v>
      </c>
    </row>
    <row r="184" spans="1:13">
      <c r="A184" s="1" t="s">
        <v>191</v>
      </c>
      <c r="B184" s="102">
        <v>30</v>
      </c>
    </row>
    <row r="185" spans="1:13">
      <c r="A185" s="1" t="s">
        <v>70</v>
      </c>
      <c r="B185" s="102">
        <v>10</v>
      </c>
    </row>
    <row r="186" spans="1:13">
      <c r="A186" s="1" t="s">
        <v>192</v>
      </c>
      <c r="B186" s="102">
        <v>30</v>
      </c>
    </row>
    <row r="187" spans="1:13">
      <c r="A187" s="1" t="s">
        <v>193</v>
      </c>
      <c r="B187" s="102">
        <v>50</v>
      </c>
    </row>
  </sheetData>
  <mergeCells count="16">
    <mergeCell ref="A163:A164"/>
    <mergeCell ref="B163:C163"/>
    <mergeCell ref="A101:A102"/>
    <mergeCell ref="B101:C101"/>
    <mergeCell ref="A151:A152"/>
    <mergeCell ref="B151:C151"/>
    <mergeCell ref="D163:E163"/>
    <mergeCell ref="H163:I163"/>
    <mergeCell ref="L163:M163"/>
    <mergeCell ref="H151:I151"/>
    <mergeCell ref="J151:K151"/>
    <mergeCell ref="L151:M151"/>
    <mergeCell ref="F151:G151"/>
    <mergeCell ref="J163:K163"/>
    <mergeCell ref="F163:G163"/>
    <mergeCell ref="D151:E15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97"/>
  <sheetViews>
    <sheetView topLeftCell="A28" zoomScale="90" zoomScaleNormal="90" workbookViewId="0">
      <selection activeCell="C46" sqref="C46"/>
    </sheetView>
  </sheetViews>
  <sheetFormatPr defaultColWidth="9.140625" defaultRowHeight="15.75"/>
  <cols>
    <col min="1" max="1" width="22.140625" style="5" customWidth="1"/>
    <col min="2" max="13" width="12.85546875" style="5" customWidth="1"/>
    <col min="14" max="14" width="15.7109375" style="5" customWidth="1"/>
    <col min="15" max="15" width="13.28515625" style="5" customWidth="1"/>
    <col min="16" max="16" width="14.42578125" style="5" customWidth="1"/>
    <col min="17" max="17" width="16.140625" style="5" customWidth="1"/>
    <col min="18" max="16384" width="9.140625" style="5"/>
  </cols>
  <sheetData>
    <row r="1" spans="1:6">
      <c r="A1" s="104" t="s">
        <v>146</v>
      </c>
      <c r="B1" s="4"/>
      <c r="C1" s="4"/>
    </row>
    <row r="2" spans="1:6">
      <c r="A2" s="93" t="s">
        <v>0</v>
      </c>
      <c r="B2" s="93" t="s">
        <v>1</v>
      </c>
      <c r="C2" s="93" t="s">
        <v>164</v>
      </c>
    </row>
    <row r="3" spans="1:6" ht="28.15" customHeight="1">
      <c r="A3" s="6" t="s">
        <v>3</v>
      </c>
      <c r="B3" s="93" t="s">
        <v>9</v>
      </c>
      <c r="C3" s="93">
        <f>SUM(C11:C22)</f>
        <v>968</v>
      </c>
    </row>
    <row r="4" spans="1:6">
      <c r="A4" s="7" t="s">
        <v>4</v>
      </c>
      <c r="B4" s="93" t="s">
        <v>9</v>
      </c>
      <c r="C4" s="93">
        <f>C23</f>
        <v>90</v>
      </c>
    </row>
    <row r="5" spans="1:6">
      <c r="A5" s="7" t="s">
        <v>5</v>
      </c>
      <c r="B5" s="93" t="s">
        <v>9</v>
      </c>
      <c r="C5" s="93">
        <f>C24</f>
        <v>120</v>
      </c>
    </row>
    <row r="6" spans="1:6">
      <c r="A6" s="7" t="s">
        <v>6</v>
      </c>
      <c r="B6" s="93" t="s">
        <v>9</v>
      </c>
      <c r="C6" s="93">
        <f>C25</f>
        <v>60</v>
      </c>
    </row>
    <row r="7" spans="1:6" ht="15" customHeight="1">
      <c r="A7" s="7" t="s">
        <v>7</v>
      </c>
      <c r="B7" s="8" t="s">
        <v>154</v>
      </c>
      <c r="C7" s="93">
        <f>'Исходные данные'!B7</f>
        <v>18680</v>
      </c>
    </row>
    <row r="8" spans="1:6">
      <c r="A8" s="105" t="s">
        <v>147</v>
      </c>
      <c r="B8" s="9"/>
      <c r="C8" s="9"/>
    </row>
    <row r="9" spans="1:6" ht="18.75" customHeight="1">
      <c r="A9" s="156" t="s">
        <v>84</v>
      </c>
      <c r="B9" s="157" t="s">
        <v>88</v>
      </c>
      <c r="C9" s="158" t="s">
        <v>152</v>
      </c>
      <c r="D9" s="155" t="s">
        <v>248</v>
      </c>
      <c r="E9" s="155"/>
      <c r="F9" s="159"/>
    </row>
    <row r="10" spans="1:6" ht="105" customHeight="1">
      <c r="A10" s="156"/>
      <c r="B10" s="157"/>
      <c r="C10" s="158"/>
      <c r="D10" s="95" t="s">
        <v>249</v>
      </c>
      <c r="E10" s="95" t="s">
        <v>157</v>
      </c>
      <c r="F10" s="159"/>
    </row>
    <row r="11" spans="1:6">
      <c r="A11" s="10" t="s">
        <v>11</v>
      </c>
      <c r="B11" s="94">
        <f>'Исходные данные'!B28</f>
        <v>17.5</v>
      </c>
      <c r="C11" s="93">
        <f>'Исходные данные'!B79</f>
        <v>70</v>
      </c>
      <c r="D11" s="94">
        <f>'Исходные данные'!B45</f>
        <v>14</v>
      </c>
      <c r="E11" s="106">
        <f>'Исходные данные'!B62</f>
        <v>22608</v>
      </c>
      <c r="F11" s="45"/>
    </row>
    <row r="12" spans="1:6">
      <c r="A12" s="10" t="s">
        <v>12</v>
      </c>
      <c r="B12" s="94">
        <f>'Исходные данные'!B29</f>
        <v>18</v>
      </c>
      <c r="C12" s="93">
        <f>'Исходные данные'!B80</f>
        <v>140</v>
      </c>
      <c r="D12" s="94">
        <f>'Исходные данные'!B46</f>
        <v>14</v>
      </c>
      <c r="E12" s="106">
        <f>'Исходные данные'!B63</f>
        <v>16852.5</v>
      </c>
      <c r="F12" s="46"/>
    </row>
    <row r="13" spans="1:6">
      <c r="A13" s="10" t="s">
        <v>13</v>
      </c>
      <c r="B13" s="94">
        <f>'Исходные данные'!B30</f>
        <v>190</v>
      </c>
      <c r="C13" s="93">
        <f>'Исходные данные'!B81</f>
        <v>20</v>
      </c>
      <c r="D13" s="94">
        <f>'Исходные данные'!B47</f>
        <v>200</v>
      </c>
      <c r="E13" s="106">
        <f>'Исходные данные'!B64</f>
        <v>155625</v>
      </c>
      <c r="F13" s="46"/>
    </row>
    <row r="14" spans="1:6">
      <c r="A14" s="10" t="s">
        <v>14</v>
      </c>
      <c r="B14" s="94">
        <f>'Исходные данные'!B31</f>
        <v>320</v>
      </c>
      <c r="C14" s="93">
        <f>'Исходные данные'!B82</f>
        <v>8</v>
      </c>
      <c r="D14" s="94">
        <f>'Исходные данные'!B48</f>
        <v>300</v>
      </c>
      <c r="E14" s="106">
        <f>'Исходные данные'!B65</f>
        <v>164733.75</v>
      </c>
      <c r="F14" s="46"/>
    </row>
    <row r="15" spans="1:6" ht="31.5">
      <c r="A15" s="11" t="s">
        <v>15</v>
      </c>
      <c r="B15" s="94">
        <f>'Исходные данные'!B32</f>
        <v>100</v>
      </c>
      <c r="C15" s="93">
        <f>'Исходные данные'!B83</f>
        <v>30</v>
      </c>
      <c r="D15" s="94">
        <f>'Исходные данные'!B49</f>
        <v>15</v>
      </c>
      <c r="E15" s="106">
        <f>'Исходные данные'!B66</f>
        <v>5058.75</v>
      </c>
      <c r="F15" s="46"/>
    </row>
    <row r="16" spans="1:6">
      <c r="A16" s="11" t="s">
        <v>82</v>
      </c>
      <c r="B16" s="94">
        <f>'Исходные данные'!B33</f>
        <v>110</v>
      </c>
      <c r="C16" s="93">
        <f>'Исходные данные'!B84</f>
        <v>50</v>
      </c>
      <c r="D16" s="94">
        <f>'Исходные данные'!B50</f>
        <v>15</v>
      </c>
      <c r="E16" s="106">
        <f>'Исходные данные'!B67</f>
        <v>5090.25</v>
      </c>
      <c r="F16" s="46"/>
    </row>
    <row r="17" spans="1:13">
      <c r="A17" s="10" t="s">
        <v>85</v>
      </c>
      <c r="B17" s="94">
        <f>'Исходные данные'!B34</f>
        <v>125</v>
      </c>
      <c r="C17" s="93">
        <f>'Исходные данные'!B85</f>
        <v>60</v>
      </c>
      <c r="D17" s="94">
        <f>'Исходные данные'!B51</f>
        <v>18</v>
      </c>
      <c r="E17" s="106">
        <f>'Исходные данные'!B68</f>
        <v>18915</v>
      </c>
      <c r="F17" s="46"/>
    </row>
    <row r="18" spans="1:13">
      <c r="A18" s="10" t="s">
        <v>86</v>
      </c>
      <c r="B18" s="94">
        <f>'Исходные данные'!B35</f>
        <v>95</v>
      </c>
      <c r="C18" s="93">
        <f>'Исходные данные'!B86</f>
        <v>70</v>
      </c>
      <c r="D18" s="94">
        <f>'Исходные данные'!B52</f>
        <v>20</v>
      </c>
      <c r="E18" s="106">
        <f>'Исходные данные'!B69</f>
        <v>16172.25</v>
      </c>
      <c r="F18" s="46"/>
    </row>
    <row r="19" spans="1:13" ht="31.5">
      <c r="A19" s="11" t="s">
        <v>151</v>
      </c>
      <c r="B19" s="94">
        <f>'Исходные данные'!B36</f>
        <v>145</v>
      </c>
      <c r="C19" s="93">
        <f>'Исходные данные'!B87</f>
        <v>160</v>
      </c>
      <c r="D19" s="94">
        <f>'Исходные данные'!B53</f>
        <v>8</v>
      </c>
      <c r="E19" s="106">
        <f>'Исходные данные'!B70</f>
        <v>4337.25</v>
      </c>
      <c r="F19" s="46"/>
    </row>
    <row r="20" spans="1:13">
      <c r="A20" s="10" t="s">
        <v>87</v>
      </c>
      <c r="B20" s="94">
        <f>'Исходные данные'!B37</f>
        <v>35</v>
      </c>
      <c r="C20" s="93">
        <f>'Исходные данные'!B88</f>
        <v>120</v>
      </c>
      <c r="D20" s="94">
        <f>'Исходные данные'!B54</f>
        <v>10</v>
      </c>
      <c r="E20" s="106">
        <f>'Исходные данные'!B71</f>
        <v>4702.5</v>
      </c>
      <c r="F20" s="46"/>
    </row>
    <row r="21" spans="1:13">
      <c r="A21" s="10" t="s">
        <v>85</v>
      </c>
      <c r="B21" s="94">
        <f>'Исходные данные'!B38</f>
        <v>150</v>
      </c>
      <c r="C21" s="93">
        <f>'Исходные данные'!B89</f>
        <v>150</v>
      </c>
      <c r="D21" s="94">
        <f>'Исходные данные'!B55</f>
        <v>8</v>
      </c>
      <c r="E21" s="106">
        <f>'Исходные данные'!B72</f>
        <v>12875.25</v>
      </c>
      <c r="F21" s="46"/>
    </row>
    <row r="22" spans="1:13">
      <c r="A22" s="10" t="s">
        <v>86</v>
      </c>
      <c r="B22" s="94">
        <f>'Исходные данные'!B39</f>
        <v>135</v>
      </c>
      <c r="C22" s="93">
        <f>'Исходные данные'!B90</f>
        <v>90</v>
      </c>
      <c r="D22" s="94">
        <f>'Исходные данные'!B56</f>
        <v>12</v>
      </c>
      <c r="E22" s="106">
        <f>'Исходные данные'!B73</f>
        <v>19404</v>
      </c>
      <c r="F22" s="46"/>
    </row>
    <row r="23" spans="1:13" ht="31.5">
      <c r="A23" s="11" t="s">
        <v>83</v>
      </c>
      <c r="B23" s="94">
        <f>'Исходные данные'!B40</f>
        <v>10</v>
      </c>
      <c r="C23" s="93">
        <f>'Исходные данные'!B91</f>
        <v>90</v>
      </c>
      <c r="D23" s="94">
        <f>'Исходные данные'!B57</f>
        <v>8</v>
      </c>
      <c r="E23" s="106">
        <f>'Исходные данные'!B74</f>
        <v>1535.25</v>
      </c>
      <c r="F23" s="46"/>
    </row>
    <row r="24" spans="1:13" ht="31.5">
      <c r="A24" s="11" t="s">
        <v>54</v>
      </c>
      <c r="B24" s="94">
        <f>'Исходные данные'!B41</f>
        <v>48</v>
      </c>
      <c r="C24" s="93">
        <f>'Исходные данные'!B92</f>
        <v>120</v>
      </c>
      <c r="D24" s="94">
        <f>'Исходные данные'!B58</f>
        <v>0</v>
      </c>
      <c r="E24" s="106">
        <f>'Исходные данные'!B75</f>
        <v>0</v>
      </c>
      <c r="F24" s="46"/>
    </row>
    <row r="25" spans="1:13" ht="15" customHeight="1">
      <c r="A25" s="11" t="s">
        <v>6</v>
      </c>
      <c r="B25" s="94">
        <f>'Исходные данные'!B42</f>
        <v>105</v>
      </c>
      <c r="C25" s="93">
        <f>'Исходные данные'!B93</f>
        <v>60</v>
      </c>
      <c r="D25" s="94">
        <f>'Исходные данные'!B59</f>
        <v>3</v>
      </c>
      <c r="E25" s="106">
        <f>'Исходные данные'!B76</f>
        <v>3122.25</v>
      </c>
      <c r="F25" s="46"/>
    </row>
    <row r="26" spans="1:13">
      <c r="A26" s="105" t="s">
        <v>148</v>
      </c>
    </row>
    <row r="27" spans="1:13">
      <c r="A27" s="160" t="s">
        <v>21</v>
      </c>
      <c r="B27" s="155" t="s">
        <v>25</v>
      </c>
      <c r="C27" s="155"/>
      <c r="D27" s="155" t="s">
        <v>70</v>
      </c>
      <c r="E27" s="155"/>
      <c r="F27" s="155" t="s">
        <v>29</v>
      </c>
      <c r="G27" s="155"/>
      <c r="H27" s="155" t="s">
        <v>30</v>
      </c>
      <c r="I27" s="155"/>
      <c r="J27" s="155" t="s">
        <v>184</v>
      </c>
      <c r="K27" s="155"/>
      <c r="L27" s="155" t="s">
        <v>31</v>
      </c>
      <c r="M27" s="155"/>
    </row>
    <row r="28" spans="1:13">
      <c r="A28" s="160"/>
      <c r="B28" s="93" t="s">
        <v>26</v>
      </c>
      <c r="C28" s="93" t="s">
        <v>27</v>
      </c>
      <c r="D28" s="93" t="s">
        <v>26</v>
      </c>
      <c r="E28" s="93" t="s">
        <v>27</v>
      </c>
      <c r="F28" s="93" t="s">
        <v>26</v>
      </c>
      <c r="G28" s="93" t="s">
        <v>27</v>
      </c>
      <c r="H28" s="93" t="s">
        <v>26</v>
      </c>
      <c r="I28" s="93" t="s">
        <v>27</v>
      </c>
      <c r="J28" s="93" t="s">
        <v>26</v>
      </c>
      <c r="K28" s="93" t="s">
        <v>27</v>
      </c>
      <c r="L28" s="93" t="s">
        <v>26</v>
      </c>
      <c r="M28" s="93" t="s">
        <v>27</v>
      </c>
    </row>
    <row r="29" spans="1:13">
      <c r="A29" s="93">
        <f>'Исходные данные'!A153</f>
        <v>23</v>
      </c>
      <c r="B29" s="93">
        <f>'Исходные данные'!B153</f>
        <v>11</v>
      </c>
      <c r="C29" s="93">
        <f>'Исходные данные'!C153</f>
        <v>14</v>
      </c>
      <c r="D29" s="93">
        <f>'Исходные данные'!D153</f>
        <v>10</v>
      </c>
      <c r="E29" s="93">
        <f>'Исходные данные'!E153</f>
        <v>13</v>
      </c>
      <c r="F29" s="93">
        <f>'Исходные данные'!F153</f>
        <v>11</v>
      </c>
      <c r="G29" s="93">
        <f>'Исходные данные'!G153</f>
        <v>14</v>
      </c>
      <c r="H29" s="93">
        <f>'Исходные данные'!H153</f>
        <v>24</v>
      </c>
      <c r="I29" s="93">
        <f>'Исходные данные'!I153</f>
        <v>27</v>
      </c>
      <c r="J29" s="93">
        <f>'Исходные данные'!J153</f>
        <v>1</v>
      </c>
      <c r="K29" s="93">
        <f>'Исходные данные'!K153</f>
        <v>2</v>
      </c>
      <c r="L29" s="93">
        <f>'Исходные данные'!L153</f>
        <v>26</v>
      </c>
      <c r="M29" s="93">
        <f>'Исходные данные'!M153</f>
        <v>30</v>
      </c>
    </row>
    <row r="30" spans="1:13">
      <c r="A30" s="105" t="s">
        <v>186</v>
      </c>
    </row>
    <row r="31" spans="1:13" ht="31.5" customHeight="1">
      <c r="A31" s="160" t="s">
        <v>32</v>
      </c>
      <c r="B31" s="160" t="s">
        <v>25</v>
      </c>
      <c r="C31" s="160"/>
      <c r="D31" s="160" t="s">
        <v>28</v>
      </c>
      <c r="E31" s="160"/>
      <c r="F31" s="160" t="s">
        <v>29</v>
      </c>
      <c r="G31" s="160"/>
      <c r="H31" s="160" t="s">
        <v>30</v>
      </c>
      <c r="I31" s="160"/>
      <c r="J31" s="164" t="s">
        <v>33</v>
      </c>
      <c r="K31" s="164"/>
      <c r="L31" s="160" t="s">
        <v>31</v>
      </c>
      <c r="M31" s="160"/>
    </row>
    <row r="32" spans="1:13">
      <c r="A32" s="160"/>
      <c r="B32" s="93" t="s">
        <v>26</v>
      </c>
      <c r="C32" s="93" t="s">
        <v>27</v>
      </c>
      <c r="D32" s="93" t="s">
        <v>26</v>
      </c>
      <c r="E32" s="93" t="s">
        <v>27</v>
      </c>
      <c r="F32" s="93" t="s">
        <v>26</v>
      </c>
      <c r="G32" s="93" t="s">
        <v>27</v>
      </c>
      <c r="H32" s="93" t="s">
        <v>26</v>
      </c>
      <c r="I32" s="93" t="s">
        <v>27</v>
      </c>
      <c r="J32" s="93" t="s">
        <v>26</v>
      </c>
      <c r="K32" s="93" t="s">
        <v>27</v>
      </c>
      <c r="L32" s="93" t="s">
        <v>26</v>
      </c>
      <c r="M32" s="93" t="s">
        <v>27</v>
      </c>
    </row>
    <row r="33" spans="1:13">
      <c r="A33" s="8">
        <f>'Исходные данные'!A165</f>
        <v>1.5</v>
      </c>
      <c r="B33" s="8">
        <f>'Исходные данные'!B165</f>
        <v>19</v>
      </c>
      <c r="C33" s="8">
        <f>'Исходные данные'!C165</f>
        <v>24</v>
      </c>
      <c r="D33" s="8">
        <f>'Исходные данные'!D165</f>
        <v>12</v>
      </c>
      <c r="E33" s="8">
        <f>'Исходные данные'!E165</f>
        <v>16</v>
      </c>
      <c r="F33" s="8">
        <f>'Исходные данные'!F165</f>
        <v>7</v>
      </c>
      <c r="G33" s="8">
        <f>'Исходные данные'!G165</f>
        <v>10</v>
      </c>
      <c r="H33" s="8">
        <f>'Исходные данные'!H165</f>
        <v>14</v>
      </c>
      <c r="I33" s="8">
        <f>'Исходные данные'!I165</f>
        <v>19</v>
      </c>
      <c r="J33" s="8">
        <f>'Исходные данные'!J165</f>
        <v>2</v>
      </c>
      <c r="K33" s="8">
        <f>'Исходные данные'!K165</f>
        <v>4</v>
      </c>
      <c r="L33" s="8">
        <f>'Исходные данные'!L165</f>
        <v>22</v>
      </c>
      <c r="M33" s="8">
        <f>'Исходные данные'!M165</f>
        <v>27</v>
      </c>
    </row>
    <row r="34" spans="1:13">
      <c r="A34" s="107" t="s">
        <v>149</v>
      </c>
      <c r="B34" s="38"/>
      <c r="C34" s="3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>
      <c r="A35" s="40" t="s">
        <v>0</v>
      </c>
      <c r="B35" s="40" t="s">
        <v>164</v>
      </c>
      <c r="C35" s="3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ht="47.25">
      <c r="A36" s="41" t="s">
        <v>34</v>
      </c>
      <c r="B36" s="40">
        <f>'Исходные данные'!B96</f>
        <v>800</v>
      </c>
      <c r="C36" s="3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ht="47.25">
      <c r="A37" s="41" t="s">
        <v>35</v>
      </c>
      <c r="B37" s="40">
        <f>'Исходные данные'!B97</f>
        <v>900</v>
      </c>
      <c r="C37" s="3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ht="31.5">
      <c r="A38" s="41" t="s">
        <v>36</v>
      </c>
      <c r="B38" s="40">
        <f>'Исходные данные'!B98</f>
        <v>30</v>
      </c>
      <c r="C38" s="3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ht="31.5">
      <c r="A39" s="41" t="s">
        <v>37</v>
      </c>
      <c r="B39" s="40">
        <f>'Исходные данные'!B99</f>
        <v>40</v>
      </c>
      <c r="C39" s="3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>
      <c r="A40" s="105" t="s">
        <v>145</v>
      </c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ht="47.25">
      <c r="A41" s="93" t="s">
        <v>38</v>
      </c>
      <c r="B41" s="93" t="s">
        <v>89</v>
      </c>
      <c r="C41" s="8" t="s">
        <v>194</v>
      </c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>
      <c r="A42" s="7" t="s">
        <v>40</v>
      </c>
      <c r="B42" s="14">
        <f>'Исходные данные'!B126</f>
        <v>250</v>
      </c>
      <c r="C42" s="93">
        <f>'Исходные данные'!B134</f>
        <v>675</v>
      </c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>
      <c r="A43" s="7" t="s">
        <v>39</v>
      </c>
      <c r="B43" s="14">
        <f>'Исходные данные'!B127</f>
        <v>800</v>
      </c>
      <c r="C43" s="93">
        <f>'Исходные данные'!B135</f>
        <v>300</v>
      </c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>
      <c r="A44" s="6" t="s">
        <v>8</v>
      </c>
      <c r="B44" s="14">
        <f>'Исходные данные'!B128</f>
        <v>85</v>
      </c>
      <c r="C44" s="93">
        <f>'Исходные данные'!B136</f>
        <v>150</v>
      </c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>
      <c r="A45" s="6" t="s">
        <v>240</v>
      </c>
      <c r="B45" s="14">
        <f>'Исходные данные'!B129</f>
        <v>500</v>
      </c>
      <c r="C45" s="93">
        <f>'Исходные данные'!B137</f>
        <v>315</v>
      </c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>
      <c r="A46" s="7" t="s">
        <v>20</v>
      </c>
      <c r="B46" s="14">
        <f>'Исходные данные'!B130</f>
        <v>700</v>
      </c>
      <c r="C46" s="93">
        <f>'Исходные данные'!B138</f>
        <v>2415</v>
      </c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>
      <c r="A47" s="7" t="s">
        <v>50</v>
      </c>
      <c r="B47" s="14">
        <f>'Исходные данные'!B131</f>
        <v>700</v>
      </c>
      <c r="C47" s="93">
        <f>'Исходные данные'!B139</f>
        <v>562.5</v>
      </c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>
      <c r="A48" s="163" t="s">
        <v>150</v>
      </c>
      <c r="B48" s="163"/>
      <c r="C48" s="163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13">
      <c r="A49" s="160" t="s">
        <v>38</v>
      </c>
      <c r="B49" s="161" t="s">
        <v>51</v>
      </c>
      <c r="C49" s="162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ht="37.5" customHeight="1">
      <c r="A50" s="160"/>
      <c r="B50" s="93" t="s">
        <v>52</v>
      </c>
      <c r="C50" s="8" t="s">
        <v>53</v>
      </c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3">
      <c r="A51" s="64" t="s">
        <v>11</v>
      </c>
      <c r="B51" s="12">
        <f>'Исходные данные'!B103</f>
        <v>1.21</v>
      </c>
      <c r="C51" s="13">
        <f>'Исходные данные'!C103</f>
        <v>8.1000000000000003E-2</v>
      </c>
      <c r="D51" s="15"/>
      <c r="E51" s="9"/>
      <c r="F51" s="9"/>
      <c r="G51" s="9"/>
      <c r="H51" s="9"/>
      <c r="I51" s="9"/>
      <c r="J51" s="9"/>
      <c r="K51" s="9"/>
      <c r="L51" s="9"/>
      <c r="M51" s="9"/>
    </row>
    <row r="52" spans="1:13">
      <c r="A52" s="64" t="s">
        <v>12</v>
      </c>
      <c r="B52" s="12">
        <f>'Исходные данные'!B104</f>
        <v>1</v>
      </c>
      <c r="C52" s="13">
        <f>'Исходные данные'!C104</f>
        <v>8.5000000000000006E-2</v>
      </c>
      <c r="D52" s="15"/>
      <c r="E52" s="9"/>
      <c r="F52" s="9"/>
      <c r="G52" s="9"/>
      <c r="H52" s="9"/>
      <c r="I52" s="9"/>
      <c r="J52" s="9"/>
      <c r="K52" s="9"/>
      <c r="L52" s="9"/>
      <c r="M52" s="9"/>
    </row>
    <row r="53" spans="1:13">
      <c r="A53" s="64" t="s">
        <v>13</v>
      </c>
      <c r="B53" s="12">
        <f>'Исходные данные'!B105</f>
        <v>0.3</v>
      </c>
      <c r="C53" s="13">
        <f>'Исходные данные'!C105</f>
        <v>1.6E-2</v>
      </c>
      <c r="D53" s="15"/>
      <c r="E53" s="9"/>
      <c r="F53" s="9"/>
      <c r="G53" s="9"/>
      <c r="H53" s="9"/>
      <c r="I53" s="9"/>
      <c r="J53" s="9"/>
      <c r="K53" s="9"/>
      <c r="L53" s="9"/>
      <c r="M53" s="9"/>
    </row>
    <row r="54" spans="1:13">
      <c r="A54" s="64" t="s">
        <v>14</v>
      </c>
      <c r="B54" s="12">
        <f>'Исходные данные'!B106</f>
        <v>0.12</v>
      </c>
      <c r="C54" s="13">
        <f>'Исходные данные'!C106</f>
        <v>8.9999999999999993E-3</v>
      </c>
      <c r="D54" s="15"/>
      <c r="E54" s="9"/>
      <c r="F54" s="9"/>
      <c r="G54" s="9"/>
      <c r="H54" s="9"/>
      <c r="I54" s="9"/>
      <c r="J54" s="9"/>
      <c r="K54" s="9"/>
      <c r="L54" s="9"/>
      <c r="M54" s="9"/>
    </row>
    <row r="55" spans="1:13" ht="31.5">
      <c r="A55" s="64" t="s">
        <v>15</v>
      </c>
      <c r="B55" s="12">
        <f>'Исходные данные'!B107</f>
        <v>0.18</v>
      </c>
      <c r="C55" s="13">
        <f>'Исходные данные'!C107</f>
        <v>2.1999999999999999E-2</v>
      </c>
      <c r="D55" s="15"/>
      <c r="E55" s="9"/>
      <c r="F55" s="9"/>
      <c r="G55" s="9"/>
      <c r="H55" s="9"/>
      <c r="I55" s="9"/>
      <c r="J55" s="9"/>
      <c r="K55" s="9"/>
      <c r="L55" s="9"/>
      <c r="M55" s="9"/>
    </row>
    <row r="56" spans="1:13" ht="31.5">
      <c r="A56" s="64" t="s">
        <v>16</v>
      </c>
      <c r="B56" s="12">
        <f>'Исходные данные'!B108</f>
        <v>0.16</v>
      </c>
      <c r="C56" s="13">
        <f>'Исходные данные'!C108</f>
        <v>2.7E-2</v>
      </c>
      <c r="D56" s="15"/>
      <c r="E56" s="9"/>
      <c r="F56" s="9"/>
      <c r="G56" s="9"/>
      <c r="H56" s="9"/>
      <c r="I56" s="9"/>
      <c r="J56" s="9"/>
      <c r="K56" s="9"/>
      <c r="L56" s="9"/>
      <c r="M56" s="9"/>
    </row>
    <row r="57" spans="1:13" ht="31.5">
      <c r="A57" s="64" t="s">
        <v>46</v>
      </c>
      <c r="B57" s="12">
        <f>'Исходные данные'!B109</f>
        <v>0.21</v>
      </c>
      <c r="C57" s="13">
        <f>'Исходные данные'!C109</f>
        <v>3.2000000000000001E-2</v>
      </c>
      <c r="D57" s="15"/>
      <c r="E57" s="9"/>
      <c r="F57" s="9"/>
      <c r="G57" s="9"/>
      <c r="H57" s="9"/>
      <c r="I57" s="9"/>
      <c r="J57" s="9"/>
      <c r="K57" s="9"/>
      <c r="L57" s="9"/>
      <c r="M57" s="9"/>
    </row>
    <row r="58" spans="1:13" ht="31.5">
      <c r="A58" s="64" t="s">
        <v>44</v>
      </c>
      <c r="B58" s="12">
        <f>'Исходные данные'!B110</f>
        <v>0.33</v>
      </c>
      <c r="C58" s="13">
        <f>'Исходные данные'!C110</f>
        <v>3.4000000000000002E-2</v>
      </c>
      <c r="D58" s="15"/>
      <c r="E58" s="9"/>
      <c r="F58" s="9"/>
      <c r="G58" s="9"/>
      <c r="H58" s="9"/>
      <c r="I58" s="9"/>
      <c r="J58" s="9"/>
      <c r="K58" s="9"/>
      <c r="L58" s="9"/>
      <c r="M58" s="9"/>
    </row>
    <row r="59" spans="1:13" ht="31.5">
      <c r="A59" s="64" t="s">
        <v>47</v>
      </c>
      <c r="B59" s="12">
        <f>'Исходные данные'!B111</f>
        <v>0.22</v>
      </c>
      <c r="C59" s="13">
        <f>'Исходные данные'!C111</f>
        <v>1.9E-2</v>
      </c>
      <c r="D59" s="15"/>
      <c r="E59" s="9"/>
      <c r="F59" s="9"/>
      <c r="G59" s="9"/>
      <c r="H59" s="9"/>
      <c r="I59" s="9"/>
      <c r="J59" s="9"/>
      <c r="K59" s="9"/>
      <c r="L59" s="9"/>
      <c r="M59" s="9"/>
    </row>
    <row r="60" spans="1:13" ht="18.75" customHeight="1">
      <c r="A60" s="64" t="s">
        <v>41</v>
      </c>
      <c r="B60" s="12">
        <f>'Исходные данные'!B112</f>
        <v>0.5</v>
      </c>
      <c r="C60" s="13">
        <f>'Исходные данные'!C112</f>
        <v>5.1999999999999998E-2</v>
      </c>
      <c r="D60" s="15"/>
      <c r="E60" s="9"/>
      <c r="F60" s="9"/>
      <c r="G60" s="9"/>
      <c r="H60" s="9"/>
      <c r="I60" s="9"/>
      <c r="J60" s="9"/>
      <c r="K60" s="9"/>
      <c r="L60" s="9"/>
      <c r="M60" s="9"/>
    </row>
    <row r="61" spans="1:13" ht="31.5">
      <c r="A61" s="64" t="s">
        <v>45</v>
      </c>
      <c r="B61" s="12">
        <f>'Исходные данные'!B113</f>
        <v>0.22</v>
      </c>
      <c r="C61" s="13">
        <f>'Исходные данные'!C113</f>
        <v>0.03</v>
      </c>
      <c r="D61" s="15"/>
      <c r="E61" s="9"/>
      <c r="F61" s="9"/>
      <c r="G61" s="9"/>
      <c r="H61" s="9"/>
      <c r="I61" s="9"/>
      <c r="J61" s="9"/>
      <c r="K61" s="9"/>
      <c r="L61" s="9"/>
      <c r="M61" s="9"/>
    </row>
    <row r="62" spans="1:13" ht="31.5">
      <c r="A62" s="64" t="s">
        <v>43</v>
      </c>
      <c r="B62" s="12">
        <f>'Исходные данные'!B114</f>
        <v>0.35</v>
      </c>
      <c r="C62" s="13">
        <f>'Исходные данные'!C114</f>
        <v>3.4000000000000002E-2</v>
      </c>
      <c r="D62" s="15"/>
      <c r="E62" s="9"/>
      <c r="F62" s="9"/>
      <c r="G62" s="9"/>
      <c r="H62" s="9"/>
      <c r="I62" s="9"/>
      <c r="J62" s="9"/>
      <c r="K62" s="9"/>
      <c r="L62" s="9"/>
      <c r="M62" s="9"/>
    </row>
    <row r="63" spans="1:13" ht="31.5">
      <c r="A63" s="64" t="s">
        <v>42</v>
      </c>
      <c r="B63" s="12">
        <f>'Исходные данные'!B115</f>
        <v>0.42</v>
      </c>
      <c r="C63" s="13">
        <f>'Исходные данные'!C115</f>
        <v>0.04</v>
      </c>
      <c r="D63" s="15"/>
      <c r="E63" s="9"/>
      <c r="F63" s="9"/>
      <c r="G63" s="9"/>
      <c r="H63" s="9"/>
      <c r="I63" s="9"/>
      <c r="J63" s="9"/>
      <c r="K63" s="9"/>
      <c r="L63" s="9"/>
      <c r="M63" s="9"/>
    </row>
    <row r="64" spans="1:13" ht="31.5">
      <c r="A64" s="64" t="s">
        <v>48</v>
      </c>
      <c r="B64" s="12">
        <f>'Исходные данные'!B116</f>
        <v>0.17</v>
      </c>
      <c r="C64" s="13">
        <f>'Исходные данные'!C116</f>
        <v>1.4E-2</v>
      </c>
      <c r="D64" s="15"/>
      <c r="E64" s="9"/>
      <c r="F64" s="9"/>
      <c r="G64" s="9"/>
      <c r="H64" s="9"/>
      <c r="I64" s="9"/>
      <c r="J64" s="9"/>
      <c r="K64" s="9"/>
      <c r="L64" s="9"/>
      <c r="M64" s="9"/>
    </row>
    <row r="65" spans="1:13" ht="31.5">
      <c r="A65" s="64" t="s">
        <v>49</v>
      </c>
      <c r="B65" s="12">
        <f>'Исходные данные'!B117</f>
        <v>0.2</v>
      </c>
      <c r="C65" s="13">
        <f>'Исходные данные'!C117</f>
        <v>2.1999999999999999E-2</v>
      </c>
      <c r="D65" s="15"/>
      <c r="E65" s="9"/>
      <c r="F65" s="9"/>
      <c r="G65" s="9"/>
      <c r="H65" s="9"/>
      <c r="I65" s="9"/>
      <c r="J65" s="9"/>
      <c r="K65" s="9"/>
      <c r="L65" s="9"/>
      <c r="M65" s="9"/>
    </row>
    <row r="66" spans="1:13">
      <c r="A66" s="64" t="s">
        <v>40</v>
      </c>
      <c r="B66" s="12">
        <f>'Исходные данные'!B118</f>
        <v>0.92</v>
      </c>
      <c r="C66" s="13">
        <f>'Исходные данные'!C118</f>
        <v>0.14000000000000001</v>
      </c>
      <c r="D66" s="15"/>
      <c r="E66" s="9"/>
      <c r="F66" s="9"/>
      <c r="G66" s="9"/>
      <c r="H66" s="9"/>
      <c r="I66" s="9"/>
      <c r="J66" s="9"/>
      <c r="K66" s="9"/>
      <c r="L66" s="9"/>
      <c r="M66" s="9"/>
    </row>
    <row r="67" spans="1:13">
      <c r="A67" s="64" t="s">
        <v>39</v>
      </c>
      <c r="B67" s="12">
        <f>'Исходные данные'!B119</f>
        <v>0.8</v>
      </c>
      <c r="C67" s="13">
        <f>'Исходные данные'!C119</f>
        <v>7.4999999999999997E-2</v>
      </c>
      <c r="D67" s="15"/>
      <c r="E67" s="9"/>
      <c r="F67" s="9"/>
      <c r="G67" s="9"/>
      <c r="H67" s="9"/>
      <c r="I67" s="9"/>
      <c r="J67" s="9"/>
      <c r="K67" s="9"/>
      <c r="L67" s="9"/>
      <c r="M67" s="9"/>
    </row>
    <row r="68" spans="1:13">
      <c r="A68" s="108" t="s">
        <v>8</v>
      </c>
      <c r="B68" s="12">
        <f>'Исходные данные'!B120</f>
        <v>0.12</v>
      </c>
      <c r="C68" s="13">
        <f>'Исходные данные'!C120</f>
        <v>1.4E-2</v>
      </c>
      <c r="E68" s="9"/>
      <c r="F68" s="9"/>
      <c r="G68" s="9"/>
      <c r="H68" s="9"/>
      <c r="I68" s="9"/>
      <c r="J68" s="9"/>
      <c r="K68" s="9"/>
      <c r="L68" s="9"/>
      <c r="M68" s="9"/>
    </row>
    <row r="69" spans="1:13">
      <c r="A69" s="64" t="s">
        <v>240</v>
      </c>
      <c r="B69" s="12">
        <f>'Исходные данные'!B121</f>
        <v>0.36</v>
      </c>
      <c r="C69" s="13">
        <f>'Исходные данные'!C121</f>
        <v>1.2E-2</v>
      </c>
      <c r="D69" s="15"/>
      <c r="E69" s="9"/>
      <c r="F69" s="9"/>
      <c r="G69" s="9"/>
      <c r="H69" s="9"/>
      <c r="I69" s="9"/>
      <c r="J69" s="9"/>
      <c r="K69" s="9"/>
      <c r="L69" s="9"/>
      <c r="M69" s="9"/>
    </row>
    <row r="70" spans="1:13">
      <c r="A70" s="64" t="s">
        <v>20</v>
      </c>
      <c r="B70" s="12">
        <f>'Исходные данные'!B122</f>
        <v>0.34</v>
      </c>
      <c r="C70" s="13">
        <f>'Исходные данные'!C122</f>
        <v>3.2000000000000001E-2</v>
      </c>
      <c r="D70" s="15"/>
      <c r="G70" s="9"/>
      <c r="H70" s="9"/>
      <c r="I70" s="9"/>
      <c r="J70" s="9"/>
      <c r="K70" s="9"/>
      <c r="L70" s="9"/>
      <c r="M70" s="9"/>
    </row>
    <row r="71" spans="1:13">
      <c r="A71" s="64" t="s">
        <v>50</v>
      </c>
      <c r="B71" s="12">
        <f>'Исходные данные'!B123</f>
        <v>0.13</v>
      </c>
      <c r="C71" s="13">
        <f>'Исходные данные'!C123</f>
        <v>3.1E-2</v>
      </c>
      <c r="D71" s="15"/>
      <c r="E71" s="9"/>
      <c r="F71" s="9"/>
      <c r="G71" s="9"/>
      <c r="H71" s="9"/>
      <c r="I71" s="9"/>
      <c r="J71" s="9"/>
      <c r="K71" s="9"/>
      <c r="L71" s="9"/>
      <c r="M71" s="9"/>
    </row>
    <row r="72" spans="1:13">
      <c r="A72" s="105" t="s">
        <v>143</v>
      </c>
    </row>
    <row r="73" spans="1:13" ht="47.25">
      <c r="A73" s="93" t="s">
        <v>0</v>
      </c>
      <c r="B73" s="8" t="s">
        <v>155</v>
      </c>
      <c r="C73" s="9"/>
    </row>
    <row r="74" spans="1:13">
      <c r="A74" s="7" t="s">
        <v>21</v>
      </c>
      <c r="B74" s="14">
        <f>'Исходные данные'!B142</f>
        <v>23</v>
      </c>
      <c r="C74" s="63"/>
    </row>
    <row r="75" spans="1:13">
      <c r="A75" s="7" t="s">
        <v>22</v>
      </c>
      <c r="B75" s="14">
        <f>'Исходные данные'!B143</f>
        <v>29.62</v>
      </c>
      <c r="C75" s="9"/>
    </row>
    <row r="76" spans="1:13" ht="43.9" customHeight="1">
      <c r="A76" s="6" t="s">
        <v>23</v>
      </c>
      <c r="B76" s="14">
        <f>'Исходные данные'!B144</f>
        <v>3.21</v>
      </c>
      <c r="C76" s="9"/>
    </row>
    <row r="77" spans="1:13">
      <c r="A77" s="105" t="s">
        <v>144</v>
      </c>
    </row>
    <row r="78" spans="1:13" ht="47.25">
      <c r="A78" s="93" t="s">
        <v>0</v>
      </c>
      <c r="B78" s="8" t="s">
        <v>155</v>
      </c>
      <c r="C78" s="9"/>
    </row>
    <row r="79" spans="1:13" ht="31.5">
      <c r="A79" s="6" t="s">
        <v>24</v>
      </c>
      <c r="B79" s="93">
        <f>'Исходные данные'!B147</f>
        <v>1.5</v>
      </c>
      <c r="C79" s="9"/>
    </row>
    <row r="80" spans="1:13">
      <c r="A80" s="7" t="s">
        <v>22</v>
      </c>
      <c r="B80" s="93">
        <f>'Исходные данные'!B148</f>
        <v>16.899999999999999</v>
      </c>
      <c r="C80" s="9"/>
    </row>
    <row r="81" spans="1:7" ht="43.9" customHeight="1">
      <c r="A81" s="6" t="s">
        <v>23</v>
      </c>
      <c r="B81" s="93">
        <f>'Исходные данные'!B149</f>
        <v>1.66</v>
      </c>
      <c r="C81" s="9"/>
    </row>
    <row r="82" spans="1:7">
      <c r="A82" s="5" t="s">
        <v>158</v>
      </c>
    </row>
    <row r="83" spans="1:7" ht="47.25">
      <c r="A83" s="6" t="s">
        <v>159</v>
      </c>
      <c r="B83" s="109" t="s">
        <v>125</v>
      </c>
      <c r="C83" s="93">
        <f>'Исходные данные'!C175</f>
        <v>25</v>
      </c>
    </row>
    <row r="84" spans="1:7" ht="47.25">
      <c r="A84" s="6" t="s">
        <v>160</v>
      </c>
      <c r="B84" s="109" t="s">
        <v>125</v>
      </c>
      <c r="C84" s="93">
        <f>'Исходные данные'!C176</f>
        <v>30</v>
      </c>
    </row>
    <row r="85" spans="1:7" ht="78.75">
      <c r="A85" s="6" t="s">
        <v>161</v>
      </c>
      <c r="B85" s="109" t="s">
        <v>125</v>
      </c>
      <c r="C85" s="93">
        <f>'Исходные данные'!C177</f>
        <v>30</v>
      </c>
    </row>
    <row r="86" spans="1:7">
      <c r="A86" s="105" t="s">
        <v>189</v>
      </c>
    </row>
    <row r="87" spans="1:7">
      <c r="A87" s="110" t="s">
        <v>11</v>
      </c>
      <c r="B87" s="111">
        <f>'Исходные данные'!B179</f>
        <v>2</v>
      </c>
    </row>
    <row r="88" spans="1:7">
      <c r="A88" s="110" t="s">
        <v>12</v>
      </c>
      <c r="B88" s="111">
        <f>'Исходные данные'!B180</f>
        <v>2.2000000000000002</v>
      </c>
    </row>
    <row r="89" spans="1:7">
      <c r="A89" s="110" t="s">
        <v>13</v>
      </c>
      <c r="B89" s="111">
        <f>'Исходные данные'!B181</f>
        <v>35</v>
      </c>
    </row>
    <row r="90" spans="1:7">
      <c r="A90" s="105" t="s">
        <v>188</v>
      </c>
      <c r="B90" s="112"/>
    </row>
    <row r="91" spans="1:7" ht="15" customHeight="1">
      <c r="A91" s="113" t="s">
        <v>190</v>
      </c>
      <c r="B91" s="114">
        <f>'Исходные данные'!B183</f>
        <v>20</v>
      </c>
      <c r="F91" s="9"/>
      <c r="G91" s="9"/>
    </row>
    <row r="92" spans="1:7" ht="30" customHeight="1">
      <c r="A92" s="6" t="s">
        <v>191</v>
      </c>
      <c r="B92" s="114">
        <f>'Исходные данные'!B184</f>
        <v>30</v>
      </c>
      <c r="F92" s="63"/>
      <c r="G92" s="9"/>
    </row>
    <row r="93" spans="1:7" ht="15" customHeight="1">
      <c r="A93" s="6" t="s">
        <v>70</v>
      </c>
      <c r="B93" s="114">
        <f>'Исходные данные'!B185</f>
        <v>10</v>
      </c>
      <c r="F93" s="63"/>
      <c r="G93" s="9"/>
    </row>
    <row r="94" spans="1:7" ht="15" customHeight="1">
      <c r="A94" s="6" t="s">
        <v>192</v>
      </c>
      <c r="B94" s="114">
        <f>'Исходные данные'!B186</f>
        <v>30</v>
      </c>
      <c r="F94" s="115"/>
      <c r="G94" s="9"/>
    </row>
    <row r="95" spans="1:7" ht="31.5" customHeight="1">
      <c r="A95" s="6" t="s">
        <v>193</v>
      </c>
      <c r="B95" s="114">
        <f>'Исходные данные'!B187</f>
        <v>50</v>
      </c>
      <c r="F95" s="115"/>
      <c r="G95" s="9"/>
    </row>
    <row r="96" spans="1:7">
      <c r="F96" s="63"/>
      <c r="G96" s="9"/>
    </row>
    <row r="97" spans="6:7">
      <c r="F97" s="63"/>
      <c r="G97" s="9"/>
    </row>
  </sheetData>
  <mergeCells count="22">
    <mergeCell ref="A49:A50"/>
    <mergeCell ref="B49:C49"/>
    <mergeCell ref="A48:C48"/>
    <mergeCell ref="L27:M27"/>
    <mergeCell ref="A27:A28"/>
    <mergeCell ref="A31:A32"/>
    <mergeCell ref="B31:C31"/>
    <mergeCell ref="D31:E31"/>
    <mergeCell ref="F31:G31"/>
    <mergeCell ref="H31:I31"/>
    <mergeCell ref="J31:K31"/>
    <mergeCell ref="L31:M31"/>
    <mergeCell ref="J27:K27"/>
    <mergeCell ref="B27:C27"/>
    <mergeCell ref="D27:E27"/>
    <mergeCell ref="F27:G27"/>
    <mergeCell ref="H27:I27"/>
    <mergeCell ref="A9:A10"/>
    <mergeCell ref="B9:B10"/>
    <mergeCell ref="C9:C10"/>
    <mergeCell ref="D9:E9"/>
    <mergeCell ref="F9:F1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6"/>
  <sheetViews>
    <sheetView topLeftCell="A25" zoomScale="90" zoomScaleNormal="90" workbookViewId="0">
      <selection activeCell="G24" sqref="G24"/>
    </sheetView>
  </sheetViews>
  <sheetFormatPr defaultRowHeight="15"/>
  <cols>
    <col min="2" max="2" width="26.42578125" customWidth="1"/>
    <col min="3" max="3" width="12.7109375" customWidth="1"/>
    <col min="4" max="4" width="12.85546875" customWidth="1"/>
    <col min="5" max="5" width="14.7109375" customWidth="1"/>
    <col min="8" max="8" width="11" customWidth="1"/>
    <col min="10" max="10" width="10.7109375" customWidth="1"/>
    <col min="11" max="11" width="15" customWidth="1"/>
    <col min="12" max="12" width="21.5703125" customWidth="1"/>
    <col min="15" max="15" width="26.85546875" customWidth="1"/>
  </cols>
  <sheetData>
    <row r="1" spans="1:14" ht="15.75">
      <c r="A1" s="165" t="s">
        <v>253</v>
      </c>
      <c r="B1" s="165"/>
      <c r="C1" s="165"/>
      <c r="D1" s="165"/>
      <c r="E1" s="165"/>
      <c r="F1" s="165"/>
      <c r="G1" s="165"/>
      <c r="H1" s="165"/>
      <c r="I1" s="165"/>
      <c r="J1" s="166"/>
      <c r="K1" s="5"/>
    </row>
    <row r="2" spans="1:14" ht="47.25" customHeight="1">
      <c r="A2" s="138"/>
      <c r="B2" s="138" t="s">
        <v>38</v>
      </c>
      <c r="C2" s="138" t="s">
        <v>55</v>
      </c>
      <c r="D2" s="138" t="s">
        <v>188</v>
      </c>
      <c r="E2" s="138" t="s">
        <v>255</v>
      </c>
      <c r="F2" s="138" t="s">
        <v>56</v>
      </c>
      <c r="G2" s="138" t="s">
        <v>57</v>
      </c>
      <c r="H2" s="138" t="s">
        <v>58</v>
      </c>
      <c r="I2" s="138" t="s">
        <v>59</v>
      </c>
      <c r="J2" s="138" t="s">
        <v>60</v>
      </c>
    </row>
    <row r="3" spans="1:14" ht="15.75">
      <c r="A3" s="138" t="s">
        <v>61</v>
      </c>
      <c r="B3" s="139" t="s">
        <v>11</v>
      </c>
      <c r="C3" s="135">
        <f>'Исходный вариант 1'!B11</f>
        <v>17.5</v>
      </c>
      <c r="D3" s="135">
        <f>C3*'Исходный вариант 1'!$B$91/100</f>
        <v>3.5</v>
      </c>
      <c r="E3" s="135">
        <f>'Исходный вариант 1'!B87</f>
        <v>2</v>
      </c>
      <c r="F3" s="135">
        <f>C3-D3-E3</f>
        <v>12</v>
      </c>
      <c r="G3" s="12">
        <f>'Исходный вариант 1'!B51</f>
        <v>1.21</v>
      </c>
      <c r="H3" s="12">
        <f>'Исходный вариант 1'!C51</f>
        <v>8.1000000000000003E-2</v>
      </c>
      <c r="I3" s="135">
        <f>F3*G3</f>
        <v>14.52</v>
      </c>
      <c r="J3" s="135">
        <f>F3*H3</f>
        <v>0.97199999999999998</v>
      </c>
      <c r="L3" s="16"/>
      <c r="M3" s="2"/>
      <c r="N3" s="2"/>
    </row>
    <row r="4" spans="1:14" ht="15.75">
      <c r="A4" s="138" t="s">
        <v>62</v>
      </c>
      <c r="B4" s="139" t="s">
        <v>12</v>
      </c>
      <c r="C4" s="135">
        <f>'Исходный вариант 1'!B12</f>
        <v>18</v>
      </c>
      <c r="D4" s="135">
        <f>C4*'Исходный вариант 1'!$B$91/100</f>
        <v>3.6</v>
      </c>
      <c r="E4" s="135">
        <f>'Исходный вариант 1'!B88</f>
        <v>2.2000000000000002</v>
      </c>
      <c r="F4" s="135">
        <f>C4-D4-E4</f>
        <v>12.2</v>
      </c>
      <c r="G4" s="12">
        <f>'Исходный вариант 1'!B52</f>
        <v>1</v>
      </c>
      <c r="H4" s="12">
        <f>'Исходный вариант 1'!C52</f>
        <v>8.5000000000000006E-2</v>
      </c>
      <c r="I4" s="135">
        <f t="shared" ref="I4:I16" si="0">F4*G4</f>
        <v>12.2</v>
      </c>
      <c r="J4" s="135">
        <f t="shared" ref="J4:J17" si="1">F4*H4</f>
        <v>1.0369999999999999</v>
      </c>
      <c r="L4" s="16"/>
      <c r="M4" s="2"/>
      <c r="N4" s="2"/>
    </row>
    <row r="5" spans="1:14" ht="16.149999999999999" customHeight="1">
      <c r="A5" s="138" t="s">
        <v>63</v>
      </c>
      <c r="B5" s="139" t="s">
        <v>13</v>
      </c>
      <c r="C5" s="135">
        <f>'Исходный вариант 1'!B13</f>
        <v>190</v>
      </c>
      <c r="D5" s="135">
        <f>C5*'Исходный вариант 1'!B$92/100</f>
        <v>57</v>
      </c>
      <c r="E5" s="135">
        <f>'Исходный вариант 1'!B89</f>
        <v>35</v>
      </c>
      <c r="F5" s="135">
        <f>C5-D5-E5</f>
        <v>98</v>
      </c>
      <c r="G5" s="12">
        <f>'Исходный вариант 1'!B53</f>
        <v>0.3</v>
      </c>
      <c r="H5" s="12">
        <f>'Исходный вариант 1'!C53</f>
        <v>1.6E-2</v>
      </c>
      <c r="I5" s="135">
        <f t="shared" si="0"/>
        <v>29.4</v>
      </c>
      <c r="J5" s="135">
        <f t="shared" si="1"/>
        <v>1.5680000000000001</v>
      </c>
      <c r="L5" s="16"/>
      <c r="M5" s="2"/>
      <c r="N5" s="2"/>
    </row>
    <row r="6" spans="1:14" ht="14.45" customHeight="1">
      <c r="A6" s="138" t="s">
        <v>64</v>
      </c>
      <c r="B6" s="139" t="s">
        <v>14</v>
      </c>
      <c r="C6" s="135">
        <f>'Исходный вариант 1'!B14</f>
        <v>320</v>
      </c>
      <c r="D6" s="135">
        <f>C6*'Исходный вариант 1'!B$92/100</f>
        <v>96</v>
      </c>
      <c r="E6" s="135"/>
      <c r="F6" s="135">
        <f>C6-D6</f>
        <v>224</v>
      </c>
      <c r="G6" s="12">
        <f>'Исходный вариант 1'!B54</f>
        <v>0.12</v>
      </c>
      <c r="H6" s="12">
        <f>'Исходный вариант 1'!C54</f>
        <v>8.9999999999999993E-3</v>
      </c>
      <c r="I6" s="135">
        <f t="shared" si="0"/>
        <v>26.88</v>
      </c>
      <c r="J6" s="135">
        <f t="shared" si="1"/>
        <v>2.016</v>
      </c>
      <c r="L6" s="16"/>
      <c r="M6" s="2"/>
      <c r="N6" s="2"/>
    </row>
    <row r="7" spans="1:14" ht="31.9" customHeight="1">
      <c r="A7" s="138" t="s">
        <v>65</v>
      </c>
      <c r="B7" s="139" t="s">
        <v>15</v>
      </c>
      <c r="C7" s="135">
        <f>'Исходный вариант 1'!B15</f>
        <v>100</v>
      </c>
      <c r="D7" s="135"/>
      <c r="E7" s="135"/>
      <c r="F7" s="135">
        <f>C7</f>
        <v>100</v>
      </c>
      <c r="G7" s="12">
        <f>'Исходный вариант 1'!B55</f>
        <v>0.18</v>
      </c>
      <c r="H7" s="12">
        <f>'Исходный вариант 1'!C55</f>
        <v>2.1999999999999999E-2</v>
      </c>
      <c r="I7" s="135">
        <f t="shared" si="0"/>
        <v>18</v>
      </c>
      <c r="J7" s="135">
        <f t="shared" si="1"/>
        <v>2.1999999999999997</v>
      </c>
      <c r="L7" s="16"/>
      <c r="M7" s="2"/>
      <c r="N7" s="2"/>
    </row>
    <row r="8" spans="1:14" ht="30" customHeight="1">
      <c r="A8" s="138" t="s">
        <v>195</v>
      </c>
      <c r="B8" s="139" t="s">
        <v>16</v>
      </c>
      <c r="C8" s="135">
        <f>'Исходный вариант 1'!B16</f>
        <v>110</v>
      </c>
      <c r="D8" s="135"/>
      <c r="E8" s="135"/>
      <c r="F8" s="135">
        <v>130</v>
      </c>
      <c r="G8" s="12">
        <f>'Исходный вариант 1'!B56</f>
        <v>0.16</v>
      </c>
      <c r="H8" s="12">
        <f>'Исходный вариант 1'!C56</f>
        <v>2.7E-2</v>
      </c>
      <c r="I8" s="135">
        <f t="shared" si="0"/>
        <v>20.8</v>
      </c>
      <c r="J8" s="135">
        <f t="shared" si="1"/>
        <v>3.51</v>
      </c>
      <c r="L8" s="17"/>
      <c r="M8" s="2"/>
      <c r="N8" s="2"/>
    </row>
    <row r="9" spans="1:14" ht="15.75">
      <c r="A9" s="138" t="s">
        <v>66</v>
      </c>
      <c r="B9" s="139" t="s">
        <v>85</v>
      </c>
      <c r="C9" s="135">
        <f>'Исходный вариант 1'!B17</f>
        <v>125</v>
      </c>
      <c r="D9" s="135">
        <f>C9*'Исходный вариант 1'!$B$94/100</f>
        <v>37.5</v>
      </c>
      <c r="E9" s="135"/>
      <c r="F9" s="135">
        <f>C9-D9</f>
        <v>87.5</v>
      </c>
      <c r="G9" s="12">
        <f>'Исходный вариант 1'!B57</f>
        <v>0.21</v>
      </c>
      <c r="H9" s="12">
        <f>'Исходный вариант 1'!C57</f>
        <v>3.2000000000000001E-2</v>
      </c>
      <c r="I9" s="135">
        <f t="shared" si="0"/>
        <v>18.375</v>
      </c>
      <c r="J9" s="135">
        <f t="shared" si="1"/>
        <v>2.8000000000000003</v>
      </c>
      <c r="L9" s="16"/>
      <c r="M9" s="2"/>
      <c r="N9" s="2"/>
    </row>
    <row r="10" spans="1:14" ht="15.75">
      <c r="A10" s="138" t="s">
        <v>67</v>
      </c>
      <c r="B10" s="139" t="s">
        <v>86</v>
      </c>
      <c r="C10" s="135">
        <f>'Исходный вариант 1'!B18</f>
        <v>95</v>
      </c>
      <c r="D10" s="135">
        <f>C10*'Исходный вариант 1'!$B$95/100</f>
        <v>47.5</v>
      </c>
      <c r="E10" s="135"/>
      <c r="F10" s="135">
        <f>C10-D10</f>
        <v>47.5</v>
      </c>
      <c r="G10" s="12">
        <f>'Исходный вариант 1'!B58</f>
        <v>0.33</v>
      </c>
      <c r="H10" s="12">
        <f>'Исходный вариант 1'!C58</f>
        <v>3.4000000000000002E-2</v>
      </c>
      <c r="I10" s="135">
        <f t="shared" si="0"/>
        <v>15.675000000000001</v>
      </c>
      <c r="J10" s="135">
        <f t="shared" si="1"/>
        <v>1.6150000000000002</v>
      </c>
      <c r="L10" s="16"/>
      <c r="M10" s="2"/>
      <c r="N10" s="2"/>
    </row>
    <row r="11" spans="1:14" ht="31.9" customHeight="1">
      <c r="A11" s="138" t="s">
        <v>68</v>
      </c>
      <c r="B11" s="139" t="s">
        <v>151</v>
      </c>
      <c r="C11" s="135">
        <f>'Исходный вариант 1'!B19</f>
        <v>145</v>
      </c>
      <c r="D11" s="135"/>
      <c r="E11" s="135"/>
      <c r="F11" s="135">
        <f>C11</f>
        <v>145</v>
      </c>
      <c r="G11" s="12">
        <f>'Исходный вариант 1'!B59</f>
        <v>0.22</v>
      </c>
      <c r="H11" s="12">
        <f>'Исходный вариант 1'!C59</f>
        <v>1.9E-2</v>
      </c>
      <c r="I11" s="135">
        <f t="shared" si="0"/>
        <v>31.9</v>
      </c>
      <c r="J11" s="135">
        <f t="shared" si="1"/>
        <v>2.7549999999999999</v>
      </c>
      <c r="L11" s="16"/>
      <c r="M11" s="2"/>
      <c r="N11" s="2"/>
    </row>
    <row r="12" spans="1:14" ht="15.75">
      <c r="A12" s="138" t="s">
        <v>69</v>
      </c>
      <c r="B12" s="139" t="s">
        <v>87</v>
      </c>
      <c r="C12" s="135">
        <f>'Исходный вариант 1'!B20</f>
        <v>35</v>
      </c>
      <c r="D12" s="135">
        <f>C12*'Исходные данные'!$B$185/100</f>
        <v>3.5</v>
      </c>
      <c r="E12" s="135"/>
      <c r="F12" s="135">
        <f>C12-D12</f>
        <v>31.5</v>
      </c>
      <c r="G12" s="12">
        <f>'Исходный вариант 1'!B60</f>
        <v>0.5</v>
      </c>
      <c r="H12" s="12">
        <f>'Исходный вариант 1'!C60</f>
        <v>5.1999999999999998E-2</v>
      </c>
      <c r="I12" s="135">
        <f t="shared" si="0"/>
        <v>15.75</v>
      </c>
      <c r="J12" s="135">
        <f t="shared" si="1"/>
        <v>1.6379999999999999</v>
      </c>
      <c r="L12" s="18"/>
      <c r="M12" s="2"/>
      <c r="N12" s="2"/>
    </row>
    <row r="13" spans="1:14" ht="15.75">
      <c r="A13" s="138" t="s">
        <v>71</v>
      </c>
      <c r="B13" s="139" t="s">
        <v>85</v>
      </c>
      <c r="C13" s="135">
        <f>'Исходный вариант 1'!B21</f>
        <v>150</v>
      </c>
      <c r="D13" s="135">
        <f>C13*'Исходный вариант 1'!$B$94/100</f>
        <v>45</v>
      </c>
      <c r="E13" s="135"/>
      <c r="F13" s="135">
        <f>C13-D13</f>
        <v>105</v>
      </c>
      <c r="G13" s="12">
        <f>'Исходный вариант 1'!B61</f>
        <v>0.22</v>
      </c>
      <c r="H13" s="12">
        <f>'Исходный вариант 1'!C61</f>
        <v>0.03</v>
      </c>
      <c r="I13" s="135">
        <f t="shared" si="0"/>
        <v>23.1</v>
      </c>
      <c r="J13" s="135">
        <f t="shared" si="1"/>
        <v>3.15</v>
      </c>
      <c r="L13" s="16"/>
      <c r="M13" s="2"/>
      <c r="N13" s="2"/>
    </row>
    <row r="14" spans="1:14" ht="15.75">
      <c r="A14" s="138" t="s">
        <v>72</v>
      </c>
      <c r="B14" s="139" t="s">
        <v>86</v>
      </c>
      <c r="C14" s="135">
        <f>'Исходный вариант 1'!B22</f>
        <v>135</v>
      </c>
      <c r="D14" s="135">
        <f>C14*'Исходный вариант 1'!$B$95/100</f>
        <v>67.5</v>
      </c>
      <c r="E14" s="135"/>
      <c r="F14" s="135">
        <f>C14-D14</f>
        <v>67.5</v>
      </c>
      <c r="G14" s="12">
        <f>'Исходный вариант 1'!B62</f>
        <v>0.35</v>
      </c>
      <c r="H14" s="12">
        <f>'Исходный вариант 1'!C62</f>
        <v>3.4000000000000002E-2</v>
      </c>
      <c r="I14" s="135">
        <f t="shared" si="0"/>
        <v>23.625</v>
      </c>
      <c r="J14" s="135">
        <f t="shared" si="1"/>
        <v>2.2950000000000004</v>
      </c>
      <c r="L14" s="16"/>
      <c r="M14" s="2"/>
      <c r="N14" s="2"/>
    </row>
    <row r="15" spans="1:14" ht="15" customHeight="1">
      <c r="A15" s="138" t="s">
        <v>73</v>
      </c>
      <c r="B15" s="139" t="s">
        <v>83</v>
      </c>
      <c r="C15" s="135">
        <f>'Исходный вариант 1'!B23</f>
        <v>10</v>
      </c>
      <c r="D15" s="135">
        <f>C15*'Исходные данные'!$B$185/100</f>
        <v>1</v>
      </c>
      <c r="E15" s="135"/>
      <c r="F15" s="135">
        <f>C15-D15</f>
        <v>9</v>
      </c>
      <c r="G15" s="12">
        <f>'Исходный вариант 1'!B63</f>
        <v>0.42</v>
      </c>
      <c r="H15" s="12">
        <f>'Исходный вариант 1'!C63</f>
        <v>0.04</v>
      </c>
      <c r="I15" s="135">
        <f t="shared" si="0"/>
        <v>3.78</v>
      </c>
      <c r="J15" s="135">
        <f t="shared" si="1"/>
        <v>0.36</v>
      </c>
      <c r="L15" s="16"/>
      <c r="M15" s="2"/>
      <c r="N15" s="2"/>
    </row>
    <row r="16" spans="1:14" ht="15" customHeight="1">
      <c r="A16" s="138" t="s">
        <v>74</v>
      </c>
      <c r="B16" s="139" t="s">
        <v>54</v>
      </c>
      <c r="C16" s="135">
        <f>'Исходный вариант 1'!B24</f>
        <v>48</v>
      </c>
      <c r="D16" s="135"/>
      <c r="E16" s="135"/>
      <c r="F16" s="135">
        <f>C16</f>
        <v>48</v>
      </c>
      <c r="G16" s="12">
        <f>'Исходный вариант 1'!B64</f>
        <v>0.17</v>
      </c>
      <c r="H16" s="12">
        <f>'Исходный вариант 1'!C64</f>
        <v>1.4E-2</v>
      </c>
      <c r="I16" s="135">
        <f t="shared" si="0"/>
        <v>8.16</v>
      </c>
      <c r="J16" s="135">
        <f t="shared" si="1"/>
        <v>0.67200000000000004</v>
      </c>
      <c r="L16" s="16"/>
      <c r="M16" s="2"/>
      <c r="N16" s="2"/>
    </row>
    <row r="17" spans="1:14" ht="15" customHeight="1">
      <c r="A17" s="138" t="s">
        <v>75</v>
      </c>
      <c r="B17" s="139" t="s">
        <v>6</v>
      </c>
      <c r="C17" s="135">
        <f>'Исходный вариант 1'!B25</f>
        <v>105</v>
      </c>
      <c r="D17" s="135"/>
      <c r="E17" s="135"/>
      <c r="F17" s="135">
        <f>C17</f>
        <v>105</v>
      </c>
      <c r="G17" s="12">
        <f>'Исходный вариант 1'!B65</f>
        <v>0.2</v>
      </c>
      <c r="H17" s="12">
        <f>'Исходный вариант 1'!C65</f>
        <v>2.1999999999999999E-2</v>
      </c>
      <c r="I17" s="135">
        <f>F17*G17</f>
        <v>21</v>
      </c>
      <c r="J17" s="135">
        <f t="shared" si="1"/>
        <v>2.31</v>
      </c>
      <c r="L17" s="16"/>
      <c r="M17" s="2"/>
      <c r="N17" s="2"/>
    </row>
    <row r="18" spans="1:14" ht="15" customHeight="1">
      <c r="A18" s="7"/>
      <c r="B18" s="140" t="s">
        <v>156</v>
      </c>
      <c r="C18" s="7"/>
      <c r="D18" s="7"/>
      <c r="E18" s="7"/>
      <c r="F18" s="7"/>
      <c r="G18" s="7"/>
      <c r="H18" s="7"/>
      <c r="I18" s="7"/>
      <c r="J18" s="7"/>
      <c r="L18" s="19"/>
      <c r="M18" s="19"/>
      <c r="N18" s="19"/>
    </row>
    <row r="19" spans="1:14" ht="15.75">
      <c r="A19" s="105" t="s">
        <v>252</v>
      </c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4" ht="141.75">
      <c r="A20" s="138"/>
      <c r="B20" s="138" t="s">
        <v>38</v>
      </c>
      <c r="C20" s="136" t="s">
        <v>250</v>
      </c>
      <c r="D20" s="136" t="s">
        <v>251</v>
      </c>
      <c r="E20" s="136" t="s">
        <v>153</v>
      </c>
      <c r="F20" s="5"/>
      <c r="G20" s="5"/>
      <c r="H20" s="5"/>
      <c r="I20" s="5"/>
      <c r="J20" s="5"/>
      <c r="K20" s="5"/>
    </row>
    <row r="21" spans="1:14" ht="15.75">
      <c r="A21" s="138" t="s">
        <v>61</v>
      </c>
      <c r="B21" s="139" t="s">
        <v>11</v>
      </c>
      <c r="C21" s="137">
        <f>'Исходный вариант 1'!C11</f>
        <v>70</v>
      </c>
      <c r="D21" s="106">
        <f>'Исходный вариант 1'!E11</f>
        <v>22608</v>
      </c>
      <c r="E21" s="137">
        <f>C21*D21</f>
        <v>1582560</v>
      </c>
      <c r="F21" s="5"/>
      <c r="G21" s="5"/>
      <c r="H21" s="5"/>
      <c r="I21" s="5"/>
      <c r="J21" s="5"/>
      <c r="K21" s="5"/>
    </row>
    <row r="22" spans="1:14" ht="15.75">
      <c r="A22" s="138" t="s">
        <v>62</v>
      </c>
      <c r="B22" s="139" t="s">
        <v>12</v>
      </c>
      <c r="C22" s="137">
        <f>'Исходный вариант 1'!C12</f>
        <v>140</v>
      </c>
      <c r="D22" s="106">
        <f>'Исходный вариант 1'!E12</f>
        <v>16852.5</v>
      </c>
      <c r="E22" s="137">
        <f t="shared" ref="E22:E41" si="2">C22*D22</f>
        <v>2359350</v>
      </c>
      <c r="F22" s="5"/>
      <c r="G22" s="5"/>
      <c r="H22" s="5"/>
      <c r="I22" s="5"/>
      <c r="J22" s="5"/>
      <c r="K22" s="5"/>
    </row>
    <row r="23" spans="1:14" ht="15.75">
      <c r="A23" s="138" t="s">
        <v>63</v>
      </c>
      <c r="B23" s="139" t="s">
        <v>13</v>
      </c>
      <c r="C23" s="137">
        <f>'Исходный вариант 1'!C13</f>
        <v>20</v>
      </c>
      <c r="D23" s="106">
        <f>'Исходный вариант 1'!E13</f>
        <v>155625</v>
      </c>
      <c r="E23" s="137">
        <f t="shared" si="2"/>
        <v>3112500</v>
      </c>
      <c r="F23" s="5"/>
      <c r="G23" s="5"/>
      <c r="H23" s="5"/>
      <c r="I23" s="5"/>
      <c r="J23" s="5"/>
      <c r="K23" s="5"/>
    </row>
    <row r="24" spans="1:14" ht="15.75">
      <c r="A24" s="138" t="s">
        <v>64</v>
      </c>
      <c r="B24" s="139" t="s">
        <v>14</v>
      </c>
      <c r="C24" s="137">
        <f>'Исходный вариант 1'!C14</f>
        <v>8</v>
      </c>
      <c r="D24" s="106">
        <f>'Исходный вариант 1'!E14</f>
        <v>164733.75</v>
      </c>
      <c r="E24" s="137">
        <f t="shared" si="2"/>
        <v>1317870</v>
      </c>
      <c r="F24" s="5"/>
      <c r="G24" s="5"/>
      <c r="H24" s="5"/>
      <c r="I24" s="5"/>
      <c r="J24" s="5"/>
      <c r="K24" s="5"/>
    </row>
    <row r="25" spans="1:14" ht="31.5">
      <c r="A25" s="138" t="s">
        <v>65</v>
      </c>
      <c r="B25" s="139" t="s">
        <v>15</v>
      </c>
      <c r="C25" s="137">
        <f>'Исходный вариант 1'!C15</f>
        <v>30</v>
      </c>
      <c r="D25" s="106">
        <f>'Исходный вариант 1'!E15</f>
        <v>5058.75</v>
      </c>
      <c r="E25" s="137">
        <f t="shared" si="2"/>
        <v>151762.5</v>
      </c>
      <c r="F25" s="5"/>
      <c r="G25" s="5"/>
      <c r="H25" s="5"/>
      <c r="I25" s="5"/>
      <c r="J25" s="5"/>
      <c r="K25" s="5"/>
    </row>
    <row r="26" spans="1:14" ht="31.5">
      <c r="A26" s="138" t="s">
        <v>195</v>
      </c>
      <c r="B26" s="139" t="s">
        <v>16</v>
      </c>
      <c r="C26" s="137">
        <f>'Исходный вариант 1'!C16</f>
        <v>50</v>
      </c>
      <c r="D26" s="106">
        <f>'Исходный вариант 1'!E16</f>
        <v>5090.25</v>
      </c>
      <c r="E26" s="137">
        <f t="shared" si="2"/>
        <v>254512.5</v>
      </c>
      <c r="F26" s="5"/>
      <c r="G26" s="5"/>
      <c r="H26" s="5"/>
      <c r="I26" s="5"/>
      <c r="J26" s="5"/>
      <c r="K26" s="5"/>
    </row>
    <row r="27" spans="1:14" ht="15.75">
      <c r="A27" s="138" t="s">
        <v>66</v>
      </c>
      <c r="B27" s="139" t="s">
        <v>85</v>
      </c>
      <c r="C27" s="137">
        <f>'Исходный вариант 1'!C17</f>
        <v>60</v>
      </c>
      <c r="D27" s="106">
        <f>'Исходный вариант 1'!E17</f>
        <v>18915</v>
      </c>
      <c r="E27" s="137">
        <f t="shared" si="2"/>
        <v>1134900</v>
      </c>
      <c r="F27" s="5"/>
      <c r="G27" s="5"/>
      <c r="H27" s="5"/>
      <c r="I27" s="5"/>
      <c r="J27" s="5"/>
      <c r="K27" s="5"/>
    </row>
    <row r="28" spans="1:14" ht="15.75">
      <c r="A28" s="138" t="s">
        <v>67</v>
      </c>
      <c r="B28" s="139" t="s">
        <v>86</v>
      </c>
      <c r="C28" s="137">
        <f>'Исходный вариант 1'!C18</f>
        <v>70</v>
      </c>
      <c r="D28" s="106">
        <f>'Исходный вариант 1'!E18</f>
        <v>16172.25</v>
      </c>
      <c r="E28" s="137">
        <f t="shared" si="2"/>
        <v>1132057.5</v>
      </c>
      <c r="F28" s="5"/>
      <c r="G28" s="5"/>
      <c r="H28" s="5"/>
      <c r="I28" s="5"/>
      <c r="J28" s="5"/>
      <c r="K28" s="5"/>
    </row>
    <row r="29" spans="1:14" ht="31.5">
      <c r="A29" s="138" t="s">
        <v>68</v>
      </c>
      <c r="B29" s="139" t="s">
        <v>151</v>
      </c>
      <c r="C29" s="137">
        <f>'Исходный вариант 1'!C19</f>
        <v>160</v>
      </c>
      <c r="D29" s="106">
        <f>'Исходный вариант 1'!E19</f>
        <v>4337.25</v>
      </c>
      <c r="E29" s="137">
        <f t="shared" si="2"/>
        <v>693960</v>
      </c>
      <c r="F29" s="5"/>
      <c r="G29" s="5"/>
      <c r="H29" s="5"/>
      <c r="I29" s="5"/>
      <c r="J29" s="5"/>
      <c r="K29" s="5"/>
    </row>
    <row r="30" spans="1:14" ht="15.75">
      <c r="A30" s="138" t="s">
        <v>69</v>
      </c>
      <c r="B30" s="139" t="s">
        <v>87</v>
      </c>
      <c r="C30" s="137">
        <f>'Исходный вариант 1'!C20</f>
        <v>120</v>
      </c>
      <c r="D30" s="106">
        <f>'Исходный вариант 1'!E20</f>
        <v>4702.5</v>
      </c>
      <c r="E30" s="137">
        <f t="shared" si="2"/>
        <v>564300</v>
      </c>
      <c r="F30" s="5"/>
      <c r="G30" s="5"/>
      <c r="H30" s="5"/>
      <c r="I30" s="5"/>
      <c r="J30" s="5"/>
      <c r="K30" s="5"/>
    </row>
    <row r="31" spans="1:14" ht="15.75">
      <c r="A31" s="138" t="s">
        <v>71</v>
      </c>
      <c r="B31" s="139" t="s">
        <v>85</v>
      </c>
      <c r="C31" s="137">
        <f>'Исходный вариант 1'!C21</f>
        <v>150</v>
      </c>
      <c r="D31" s="106">
        <f>'Исходный вариант 1'!E21</f>
        <v>12875.25</v>
      </c>
      <c r="E31" s="137">
        <f t="shared" si="2"/>
        <v>1931287.5</v>
      </c>
      <c r="F31" s="5"/>
      <c r="G31" s="5"/>
      <c r="H31" s="5"/>
      <c r="I31" s="5"/>
      <c r="J31" s="5"/>
      <c r="K31" s="5"/>
    </row>
    <row r="32" spans="1:14" ht="15.75">
      <c r="A32" s="138" t="s">
        <v>72</v>
      </c>
      <c r="B32" s="139" t="s">
        <v>86</v>
      </c>
      <c r="C32" s="137">
        <f>'Исходный вариант 1'!C22</f>
        <v>90</v>
      </c>
      <c r="D32" s="106">
        <f>'Исходный вариант 1'!E22</f>
        <v>19404</v>
      </c>
      <c r="E32" s="137">
        <f t="shared" si="2"/>
        <v>1746360</v>
      </c>
      <c r="F32" s="5"/>
      <c r="G32" s="5"/>
      <c r="H32" s="5"/>
      <c r="I32" s="5"/>
      <c r="J32" s="5"/>
      <c r="K32" s="5"/>
    </row>
    <row r="33" spans="1:11" ht="15.75">
      <c r="A33" s="138" t="s">
        <v>73</v>
      </c>
      <c r="B33" s="139" t="s">
        <v>83</v>
      </c>
      <c r="C33" s="137">
        <f>'Исходный вариант 1'!C23</f>
        <v>90</v>
      </c>
      <c r="D33" s="106">
        <f>'Исходный вариант 1'!E23</f>
        <v>1535.25</v>
      </c>
      <c r="E33" s="137">
        <f t="shared" si="2"/>
        <v>138172.5</v>
      </c>
      <c r="F33" s="5"/>
      <c r="G33" s="5"/>
      <c r="H33" s="5"/>
      <c r="I33" s="5"/>
      <c r="J33" s="5"/>
      <c r="K33" s="5"/>
    </row>
    <row r="34" spans="1:11" ht="15.75">
      <c r="A34" s="138" t="s">
        <v>74</v>
      </c>
      <c r="B34" s="139" t="s">
        <v>54</v>
      </c>
      <c r="C34" s="137">
        <f>'Исходный вариант 1'!C24</f>
        <v>120</v>
      </c>
      <c r="D34" s="106">
        <f>'Исходный вариант 1'!E24</f>
        <v>0</v>
      </c>
      <c r="E34" s="137">
        <f t="shared" si="2"/>
        <v>0</v>
      </c>
      <c r="F34" s="5"/>
      <c r="G34" s="5"/>
      <c r="H34" s="5"/>
      <c r="I34" s="5"/>
      <c r="J34" s="5"/>
      <c r="K34" s="5"/>
    </row>
    <row r="35" spans="1:11" ht="15.75">
      <c r="A35" s="138" t="s">
        <v>75</v>
      </c>
      <c r="B35" s="139" t="s">
        <v>6</v>
      </c>
      <c r="C35" s="137">
        <f>'Исходный вариант 1'!C25</f>
        <v>60</v>
      </c>
      <c r="D35" s="106">
        <f>'Исходный вариант 1'!E25</f>
        <v>3122.25</v>
      </c>
      <c r="E35" s="137">
        <f t="shared" si="2"/>
        <v>187335</v>
      </c>
      <c r="F35" s="5"/>
      <c r="G35" s="5"/>
      <c r="H35" s="5"/>
      <c r="I35" s="5"/>
      <c r="J35" s="5"/>
      <c r="K35" s="5"/>
    </row>
    <row r="36" spans="1:11" ht="15.75">
      <c r="A36" s="138" t="s">
        <v>76</v>
      </c>
      <c r="B36" s="139" t="s">
        <v>40</v>
      </c>
      <c r="C36" s="137">
        <f>'Исходный вариант 1'!B42</f>
        <v>250</v>
      </c>
      <c r="D36" s="137">
        <f>'Исходный вариант 1'!C42</f>
        <v>675</v>
      </c>
      <c r="E36" s="137">
        <f t="shared" si="2"/>
        <v>168750</v>
      </c>
      <c r="F36" s="5"/>
      <c r="G36" s="5"/>
      <c r="H36" s="5"/>
      <c r="I36" s="5"/>
      <c r="J36" s="5"/>
      <c r="K36" s="5"/>
    </row>
    <row r="37" spans="1:11" ht="15.75">
      <c r="A37" s="138" t="s">
        <v>77</v>
      </c>
      <c r="B37" s="139" t="s">
        <v>39</v>
      </c>
      <c r="C37" s="137">
        <f>'Исходный вариант 1'!B43</f>
        <v>800</v>
      </c>
      <c r="D37" s="137">
        <f>'Исходный вариант 1'!C43</f>
        <v>300</v>
      </c>
      <c r="E37" s="137">
        <f t="shared" si="2"/>
        <v>240000</v>
      </c>
      <c r="F37" s="5"/>
      <c r="G37" s="5"/>
      <c r="H37" s="5"/>
      <c r="I37" s="5"/>
      <c r="J37" s="5"/>
      <c r="K37" s="5"/>
    </row>
    <row r="38" spans="1:11" ht="15.75">
      <c r="A38" s="138" t="s">
        <v>78</v>
      </c>
      <c r="B38" s="139" t="s">
        <v>8</v>
      </c>
      <c r="C38" s="137">
        <f>'Исходный вариант 1'!B44</f>
        <v>85</v>
      </c>
      <c r="D38" s="137">
        <f>'Исходный вариант 1'!C44</f>
        <v>150</v>
      </c>
      <c r="E38" s="137">
        <f t="shared" si="2"/>
        <v>12750</v>
      </c>
      <c r="F38" s="5"/>
      <c r="G38" s="5"/>
      <c r="H38" s="5"/>
      <c r="I38" s="5"/>
      <c r="J38" s="5"/>
      <c r="K38" s="5"/>
    </row>
    <row r="39" spans="1:11" ht="15.75">
      <c r="A39" s="138" t="s">
        <v>79</v>
      </c>
      <c r="B39" s="139" t="s">
        <v>240</v>
      </c>
      <c r="C39" s="137">
        <f>'Исходный вариант 1'!B45</f>
        <v>500</v>
      </c>
      <c r="D39" s="137">
        <f>'Исходный вариант 1'!C45</f>
        <v>315</v>
      </c>
      <c r="E39" s="137">
        <f t="shared" si="2"/>
        <v>157500</v>
      </c>
      <c r="F39" s="5"/>
      <c r="G39" s="5"/>
      <c r="H39" s="5"/>
      <c r="I39" s="5"/>
      <c r="J39" s="5"/>
      <c r="K39" s="5"/>
    </row>
    <row r="40" spans="1:11" ht="15.75">
      <c r="A40" s="138" t="s">
        <v>80</v>
      </c>
      <c r="B40" s="139" t="s">
        <v>20</v>
      </c>
      <c r="C40" s="137">
        <f>'Исходный вариант 1'!B46</f>
        <v>700</v>
      </c>
      <c r="D40" s="137">
        <f>'Исходный вариант 1'!C46</f>
        <v>2415</v>
      </c>
      <c r="E40" s="137">
        <f t="shared" si="2"/>
        <v>1690500</v>
      </c>
      <c r="F40" s="5"/>
      <c r="G40" s="5"/>
      <c r="H40" s="5"/>
      <c r="I40" s="5"/>
      <c r="J40" s="5"/>
      <c r="K40" s="5"/>
    </row>
    <row r="41" spans="1:11" ht="15.75">
      <c r="A41" s="138" t="s">
        <v>81</v>
      </c>
      <c r="B41" s="139" t="s">
        <v>50</v>
      </c>
      <c r="C41" s="137">
        <f>'Исходный вариант 1'!B47</f>
        <v>700</v>
      </c>
      <c r="D41" s="137">
        <f>'Исходный вариант 1'!C47</f>
        <v>562.5</v>
      </c>
      <c r="E41" s="137">
        <f t="shared" si="2"/>
        <v>393750</v>
      </c>
      <c r="F41" s="5"/>
      <c r="G41" s="5"/>
      <c r="H41" s="5"/>
      <c r="I41" s="5"/>
      <c r="J41" s="5"/>
      <c r="K41" s="5"/>
    </row>
    <row r="42" spans="1:11" ht="15.75">
      <c r="A42" s="7"/>
      <c r="B42" s="140" t="s">
        <v>156</v>
      </c>
      <c r="C42" s="137"/>
      <c r="D42" s="137"/>
      <c r="E42" s="141">
        <f>SUM(E21:E41)</f>
        <v>18970177.5</v>
      </c>
      <c r="F42" s="5"/>
      <c r="G42" s="5"/>
      <c r="H42" s="5"/>
      <c r="I42" s="5"/>
      <c r="J42" s="5"/>
      <c r="K42" s="5"/>
    </row>
    <row r="43" spans="1:11" ht="15.7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ht="15.7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ht="15.7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1" ht="15.7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</row>
  </sheetData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50"/>
  <sheetViews>
    <sheetView tabSelected="1" workbookViewId="0">
      <pane xSplit="2" ySplit="5" topLeftCell="H36" activePane="bottomRight" state="frozen"/>
      <selection pane="topRight" activeCell="B1" sqref="B1"/>
      <selection pane="bottomLeft" activeCell="A6" sqref="A6"/>
      <selection pane="bottomRight" activeCell="P43" sqref="P43"/>
    </sheetView>
  </sheetViews>
  <sheetFormatPr defaultColWidth="9.140625" defaultRowHeight="15"/>
  <cols>
    <col min="1" max="1" width="6.42578125" style="20" customWidth="1"/>
    <col min="2" max="2" width="32.140625" style="20" bestFit="1" customWidth="1"/>
    <col min="3" max="3" width="6" style="20" bestFit="1" customWidth="1"/>
    <col min="4" max="4" width="7.5703125" style="20" bestFit="1" customWidth="1"/>
    <col min="5" max="5" width="7.7109375" style="20" bestFit="1" customWidth="1"/>
    <col min="6" max="6" width="9.5703125" style="20" bestFit="1" customWidth="1"/>
    <col min="7" max="7" width="7.5703125" style="20" bestFit="1" customWidth="1"/>
    <col min="8" max="8" width="8.140625" style="20" bestFit="1" customWidth="1"/>
    <col min="9" max="9" width="6" style="20" bestFit="1" customWidth="1"/>
    <col min="10" max="10" width="8.5703125" style="20" bestFit="1" customWidth="1"/>
    <col min="11" max="11" width="8.140625" style="20" bestFit="1" customWidth="1"/>
    <col min="12" max="25" width="8.5703125" style="20" customWidth="1"/>
    <col min="26" max="26" width="12.85546875" style="20" customWidth="1"/>
    <col min="27" max="28" width="9.85546875" style="20" customWidth="1"/>
    <col min="29" max="16384" width="9.140625" style="20"/>
  </cols>
  <sheetData>
    <row r="1" spans="1:28" ht="15.75">
      <c r="P1" s="21"/>
      <c r="AA1" s="22" t="s">
        <v>92</v>
      </c>
    </row>
    <row r="2" spans="1:28" ht="15.75">
      <c r="B2" s="176" t="s">
        <v>90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</row>
    <row r="3" spans="1:28" ht="14.45" customHeight="1">
      <c r="A3" s="170" t="s">
        <v>229</v>
      </c>
      <c r="B3" s="167" t="s">
        <v>91</v>
      </c>
      <c r="C3" s="178" t="s">
        <v>93</v>
      </c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80"/>
      <c r="Z3" s="181" t="s">
        <v>94</v>
      </c>
      <c r="AA3" s="173" t="s">
        <v>231</v>
      </c>
      <c r="AB3" s="173" t="s">
        <v>232</v>
      </c>
    </row>
    <row r="4" spans="1:28" ht="82.5">
      <c r="A4" s="171"/>
      <c r="B4" s="168"/>
      <c r="C4" s="23" t="s">
        <v>11</v>
      </c>
      <c r="D4" s="23" t="s">
        <v>12</v>
      </c>
      <c r="E4" s="23" t="s">
        <v>13</v>
      </c>
      <c r="F4" s="23" t="s">
        <v>14</v>
      </c>
      <c r="G4" s="23" t="s">
        <v>15</v>
      </c>
      <c r="H4" s="23" t="s">
        <v>95</v>
      </c>
      <c r="I4" s="23" t="s">
        <v>30</v>
      </c>
      <c r="J4" s="23" t="s">
        <v>29</v>
      </c>
      <c r="K4" s="23" t="s">
        <v>96</v>
      </c>
      <c r="L4" s="23" t="s">
        <v>70</v>
      </c>
      <c r="M4" s="23" t="s">
        <v>30</v>
      </c>
      <c r="N4" s="23" t="s">
        <v>97</v>
      </c>
      <c r="O4" s="23" t="s">
        <v>4</v>
      </c>
      <c r="P4" s="23" t="s">
        <v>54</v>
      </c>
      <c r="Q4" s="23" t="s">
        <v>98</v>
      </c>
      <c r="R4" s="23" t="s">
        <v>40</v>
      </c>
      <c r="S4" s="23" t="s">
        <v>39</v>
      </c>
      <c r="T4" s="23" t="s">
        <v>8</v>
      </c>
      <c r="U4" s="23" t="s">
        <v>240</v>
      </c>
      <c r="V4" s="23" t="s">
        <v>20</v>
      </c>
      <c r="W4" s="23" t="s">
        <v>50</v>
      </c>
      <c r="X4" s="23" t="s">
        <v>99</v>
      </c>
      <c r="Y4" s="24" t="s">
        <v>100</v>
      </c>
      <c r="Z4" s="181"/>
      <c r="AA4" s="174"/>
      <c r="AB4" s="174"/>
    </row>
    <row r="5" spans="1:28">
      <c r="A5" s="172"/>
      <c r="B5" s="169"/>
      <c r="C5" s="25" t="s">
        <v>101</v>
      </c>
      <c r="D5" s="25" t="s">
        <v>102</v>
      </c>
      <c r="E5" s="25" t="s">
        <v>103</v>
      </c>
      <c r="F5" s="25" t="s">
        <v>104</v>
      </c>
      <c r="G5" s="25" t="s">
        <v>105</v>
      </c>
      <c r="H5" s="25" t="s">
        <v>106</v>
      </c>
      <c r="I5" s="25" t="s">
        <v>107</v>
      </c>
      <c r="J5" s="25" t="s">
        <v>108</v>
      </c>
      <c r="K5" s="25" t="s">
        <v>109</v>
      </c>
      <c r="L5" s="25" t="s">
        <v>110</v>
      </c>
      <c r="M5" s="25" t="s">
        <v>111</v>
      </c>
      <c r="N5" s="25" t="s">
        <v>112</v>
      </c>
      <c r="O5" s="25" t="s">
        <v>113</v>
      </c>
      <c r="P5" s="25" t="s">
        <v>114</v>
      </c>
      <c r="Q5" s="25" t="s">
        <v>115</v>
      </c>
      <c r="R5" s="25" t="s">
        <v>116</v>
      </c>
      <c r="S5" s="25" t="s">
        <v>117</v>
      </c>
      <c r="T5" s="25" t="s">
        <v>118</v>
      </c>
      <c r="U5" s="25" t="s">
        <v>119</v>
      </c>
      <c r="V5" s="25" t="s">
        <v>120</v>
      </c>
      <c r="W5" s="25" t="s">
        <v>121</v>
      </c>
      <c r="X5" s="25" t="s">
        <v>122</v>
      </c>
      <c r="Y5" s="25" t="s">
        <v>123</v>
      </c>
      <c r="Z5" s="181"/>
      <c r="AA5" s="175"/>
      <c r="AB5" s="175"/>
    </row>
    <row r="6" spans="1:28">
      <c r="A6" s="122"/>
      <c r="B6" s="118" t="s">
        <v>230</v>
      </c>
      <c r="C6" s="26">
        <v>0</v>
      </c>
      <c r="D6" s="65">
        <v>196.98761276554495</v>
      </c>
      <c r="E6" s="65">
        <v>1.893948798454556</v>
      </c>
      <c r="F6" s="65">
        <v>4.8335151627223816</v>
      </c>
      <c r="G6" s="65">
        <v>0</v>
      </c>
      <c r="H6" s="65">
        <v>0</v>
      </c>
      <c r="I6" s="65">
        <v>0</v>
      </c>
      <c r="J6" s="65">
        <v>0</v>
      </c>
      <c r="K6" s="65">
        <v>118.2375071235607</v>
      </c>
      <c r="L6" s="65">
        <v>160.15526251526447</v>
      </c>
      <c r="M6" s="65">
        <v>176.12312815390288</v>
      </c>
      <c r="N6" s="65">
        <v>89.809476221786667</v>
      </c>
      <c r="O6" s="65">
        <v>0</v>
      </c>
      <c r="P6" s="65">
        <v>119.99999999999801</v>
      </c>
      <c r="Q6" s="65">
        <v>12.089440785064804</v>
      </c>
      <c r="R6" s="65">
        <v>250.00000000000043</v>
      </c>
      <c r="S6" s="65">
        <v>800</v>
      </c>
      <c r="T6" s="65">
        <v>0</v>
      </c>
      <c r="U6" s="65">
        <v>0</v>
      </c>
      <c r="V6" s="65">
        <v>700</v>
      </c>
      <c r="W6" s="65">
        <v>700</v>
      </c>
      <c r="X6" s="65">
        <v>313.31360946748248</v>
      </c>
      <c r="Y6" s="65">
        <v>486.68639053251775</v>
      </c>
      <c r="Z6" s="26"/>
      <c r="AA6" s="26"/>
      <c r="AB6" s="26"/>
    </row>
    <row r="7" spans="1:28" ht="32.450000000000003" customHeight="1">
      <c r="A7" s="26">
        <v>1</v>
      </c>
      <c r="B7" s="119" t="s">
        <v>196</v>
      </c>
      <c r="C7" s="25">
        <v>1</v>
      </c>
      <c r="D7" s="25">
        <v>1</v>
      </c>
      <c r="E7" s="25">
        <v>1</v>
      </c>
      <c r="F7" s="25">
        <v>1</v>
      </c>
      <c r="G7" s="25">
        <v>1</v>
      </c>
      <c r="H7" s="25">
        <v>1</v>
      </c>
      <c r="I7" s="25">
        <v>1</v>
      </c>
      <c r="J7" s="25">
        <v>1</v>
      </c>
      <c r="K7" s="25">
        <v>1</v>
      </c>
      <c r="L7" s="25">
        <v>1</v>
      </c>
      <c r="M7" s="25">
        <v>1</v>
      </c>
      <c r="N7" s="25">
        <v>1</v>
      </c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7">
        <f>SUMPRODUCT(C7:Y7,$C$6:$Y$6)</f>
        <v>748.04045074123667</v>
      </c>
      <c r="AA7" s="28" t="s">
        <v>125</v>
      </c>
      <c r="AB7" s="25">
        <f>'Исходный вариант 1'!C3</f>
        <v>968</v>
      </c>
    </row>
    <row r="8" spans="1:28" ht="33" customHeight="1">
      <c r="A8" s="26">
        <v>2</v>
      </c>
      <c r="B8" s="119" t="s">
        <v>197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>
        <v>1</v>
      </c>
      <c r="P8" s="25"/>
      <c r="Q8" s="25"/>
      <c r="R8" s="25"/>
      <c r="S8" s="25"/>
      <c r="T8" s="25"/>
      <c r="U8" s="25"/>
      <c r="V8" s="25"/>
      <c r="W8" s="25"/>
      <c r="X8" s="25"/>
      <c r="Y8" s="25"/>
      <c r="Z8" s="27">
        <f t="shared" ref="Z8:Z17" si="0">SUMPRODUCT(C8:Y8,$C$6:$Y$6)</f>
        <v>0</v>
      </c>
      <c r="AA8" s="28" t="s">
        <v>125</v>
      </c>
      <c r="AB8" s="25">
        <f>'Исходный вариант 1'!C4</f>
        <v>90</v>
      </c>
    </row>
    <row r="9" spans="1:28" ht="33.6" customHeight="1">
      <c r="A9" s="26">
        <v>3</v>
      </c>
      <c r="B9" s="119" t="s">
        <v>198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>
        <v>1</v>
      </c>
      <c r="Q9" s="25"/>
      <c r="R9" s="25"/>
      <c r="S9" s="25"/>
      <c r="T9" s="25"/>
      <c r="U9" s="25"/>
      <c r="V9" s="25"/>
      <c r="W9" s="25"/>
      <c r="X9" s="25"/>
      <c r="Y9" s="25"/>
      <c r="Z9" s="27">
        <f t="shared" si="0"/>
        <v>119.99999999999801</v>
      </c>
      <c r="AA9" s="28" t="s">
        <v>125</v>
      </c>
      <c r="AB9" s="25">
        <f>'Исходный вариант 1'!C5</f>
        <v>120</v>
      </c>
    </row>
    <row r="10" spans="1:28" ht="32.450000000000003" customHeight="1">
      <c r="A10" s="26">
        <v>4</v>
      </c>
      <c r="B10" s="119" t="s">
        <v>199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>
        <v>1</v>
      </c>
      <c r="R10" s="25"/>
      <c r="S10" s="25"/>
      <c r="T10" s="25"/>
      <c r="U10" s="25"/>
      <c r="V10" s="25"/>
      <c r="W10" s="25"/>
      <c r="X10" s="25"/>
      <c r="Y10" s="25"/>
      <c r="Z10" s="27">
        <f t="shared" si="0"/>
        <v>12.089440785064804</v>
      </c>
      <c r="AA10" s="28" t="s">
        <v>125</v>
      </c>
      <c r="AB10" s="25">
        <f>'Исходный вариант 1'!C6</f>
        <v>60</v>
      </c>
    </row>
    <row r="11" spans="1:28" ht="32.450000000000003" customHeight="1">
      <c r="A11" s="26">
        <v>5</v>
      </c>
      <c r="B11" s="119" t="s">
        <v>200</v>
      </c>
      <c r="C11" s="25">
        <f>'Исходный вариант 1'!$D$11</f>
        <v>14</v>
      </c>
      <c r="D11" s="25">
        <f>'Исходный вариант 1'!$D$12</f>
        <v>14</v>
      </c>
      <c r="E11" s="25">
        <f>'Исходный вариант 1'!$D$13</f>
        <v>200</v>
      </c>
      <c r="F11" s="25">
        <f>'Исходный вариант 1'!$D$14</f>
        <v>300</v>
      </c>
      <c r="G11" s="25">
        <f>'Исходный вариант 1'!$D$15</f>
        <v>15</v>
      </c>
      <c r="H11" s="25">
        <f>'Исходный вариант 1'!$D$16</f>
        <v>15</v>
      </c>
      <c r="I11" s="25">
        <f>'Исходный вариант 1'!$D$17</f>
        <v>18</v>
      </c>
      <c r="J11" s="25">
        <f>'Исходный вариант 1'!$D$18</f>
        <v>20</v>
      </c>
      <c r="K11" s="25">
        <f>'Исходный вариант 1'!$D$19</f>
        <v>8</v>
      </c>
      <c r="L11" s="25">
        <f>'Исходный вариант 1'!$D$20</f>
        <v>10</v>
      </c>
      <c r="M11" s="25">
        <f>'Исходный вариант 1'!$D$21</f>
        <v>8</v>
      </c>
      <c r="N11" s="25">
        <f>'Исходный вариант 1'!$D$22</f>
        <v>12</v>
      </c>
      <c r="O11" s="25">
        <f>'Исходный вариант 1'!$D$23</f>
        <v>8</v>
      </c>
      <c r="P11" s="25">
        <f>'Исходный вариант 1'!$D$24</f>
        <v>0</v>
      </c>
      <c r="Q11" s="25">
        <f>'Исходный вариант 1'!$D$25</f>
        <v>3</v>
      </c>
      <c r="R11" s="25"/>
      <c r="S11" s="25"/>
      <c r="T11" s="25"/>
      <c r="U11" s="25"/>
      <c r="V11" s="25"/>
      <c r="W11" s="25"/>
      <c r="X11" s="25"/>
      <c r="Y11" s="25"/>
      <c r="Z11" s="27">
        <f t="shared" si="0"/>
        <v>9657.0906316142427</v>
      </c>
      <c r="AA11" s="28" t="s">
        <v>125</v>
      </c>
      <c r="AB11" s="25">
        <f>'Исходный вариант 1'!C7</f>
        <v>18680</v>
      </c>
    </row>
    <row r="12" spans="1:28" ht="31.15" customHeight="1">
      <c r="A12" s="26">
        <v>6</v>
      </c>
      <c r="B12" s="119" t="s">
        <v>201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>
        <v>1</v>
      </c>
      <c r="S12" s="25"/>
      <c r="T12" s="25"/>
      <c r="U12" s="25"/>
      <c r="V12" s="25"/>
      <c r="W12" s="25"/>
      <c r="X12" s="25"/>
      <c r="Y12" s="25"/>
      <c r="Z12" s="27">
        <f t="shared" si="0"/>
        <v>250.00000000000043</v>
      </c>
      <c r="AA12" s="28" t="s">
        <v>125</v>
      </c>
      <c r="AB12" s="25">
        <f>'Исходный вариант 1'!B42</f>
        <v>250</v>
      </c>
    </row>
    <row r="13" spans="1:28" ht="30">
      <c r="A13" s="26">
        <v>7</v>
      </c>
      <c r="B13" s="119" t="s">
        <v>202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>
        <v>1</v>
      </c>
      <c r="T13" s="25"/>
      <c r="U13" s="25"/>
      <c r="V13" s="25"/>
      <c r="W13" s="25"/>
      <c r="X13" s="25"/>
      <c r="Y13" s="25"/>
      <c r="Z13" s="27">
        <f t="shared" si="0"/>
        <v>800</v>
      </c>
      <c r="AA13" s="28" t="s">
        <v>125</v>
      </c>
      <c r="AB13" s="25">
        <f>'Исходный вариант 1'!B43</f>
        <v>800</v>
      </c>
    </row>
    <row r="14" spans="1:28" ht="30">
      <c r="A14" s="26">
        <v>8</v>
      </c>
      <c r="B14" s="119" t="s">
        <v>203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>
        <v>1</v>
      </c>
      <c r="U14" s="25"/>
      <c r="V14" s="25"/>
      <c r="W14" s="25"/>
      <c r="X14" s="25"/>
      <c r="Y14" s="25"/>
      <c r="Z14" s="27">
        <f t="shared" si="0"/>
        <v>0</v>
      </c>
      <c r="AA14" s="28" t="s">
        <v>125</v>
      </c>
      <c r="AB14" s="25">
        <f>'Исходный вариант 1'!B44</f>
        <v>85</v>
      </c>
    </row>
    <row r="15" spans="1:28" ht="30">
      <c r="A15" s="26">
        <v>9</v>
      </c>
      <c r="B15" s="119" t="s">
        <v>254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>
        <v>1</v>
      </c>
      <c r="V15" s="25"/>
      <c r="W15" s="25"/>
      <c r="X15" s="25"/>
      <c r="Y15" s="25"/>
      <c r="Z15" s="27">
        <f t="shared" si="0"/>
        <v>0</v>
      </c>
      <c r="AA15" s="28" t="s">
        <v>125</v>
      </c>
      <c r="AB15" s="25">
        <f>'Исходный вариант 1'!B45</f>
        <v>500</v>
      </c>
    </row>
    <row r="16" spans="1:28" ht="30">
      <c r="A16" s="26">
        <v>10</v>
      </c>
      <c r="B16" s="119" t="s">
        <v>204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>
        <v>1</v>
      </c>
      <c r="W16" s="25"/>
      <c r="X16" s="25"/>
      <c r="Y16" s="25"/>
      <c r="Z16" s="27">
        <f t="shared" si="0"/>
        <v>700</v>
      </c>
      <c r="AA16" s="28" t="s">
        <v>125</v>
      </c>
      <c r="AB16" s="25">
        <f>'Исходный вариант 1'!B46</f>
        <v>700</v>
      </c>
    </row>
    <row r="17" spans="1:28" ht="30">
      <c r="A17" s="26">
        <v>11</v>
      </c>
      <c r="B17" s="119" t="s">
        <v>205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>
        <v>1</v>
      </c>
      <c r="X17" s="25"/>
      <c r="Y17" s="25"/>
      <c r="Z17" s="27">
        <f t="shared" si="0"/>
        <v>700</v>
      </c>
      <c r="AA17" s="28" t="s">
        <v>125</v>
      </c>
      <c r="AB17" s="25">
        <f>'Исходный вариант 1'!B47</f>
        <v>700</v>
      </c>
    </row>
    <row r="18" spans="1:28" ht="45">
      <c r="A18" s="26">
        <v>12</v>
      </c>
      <c r="B18" s="119" t="s">
        <v>206</v>
      </c>
      <c r="C18" s="29">
        <f>Расчеты!$F$3*Расчеты!$G$3</f>
        <v>14.52</v>
      </c>
      <c r="D18" s="29">
        <f>Расчеты!$F$4*Расчеты!$G$4</f>
        <v>12.2</v>
      </c>
      <c r="E18" s="29">
        <f>Расчеты!$F$5*Расчеты!$G$5</f>
        <v>29.4</v>
      </c>
      <c r="F18" s="29">
        <f>Расчеты!$F$6*Расчеты!$G$6</f>
        <v>26.88</v>
      </c>
      <c r="G18" s="29">
        <f>Расчеты!$F$7*Расчеты!$G$7</f>
        <v>18</v>
      </c>
      <c r="H18" s="29">
        <f>Расчеты!$F$8*Расчеты!$G$8</f>
        <v>20.8</v>
      </c>
      <c r="I18" s="29">
        <f>Расчеты!$F$9*Расчеты!$G$9</f>
        <v>18.375</v>
      </c>
      <c r="J18" s="29">
        <f>Расчеты!$F$10*Расчеты!$G$10</f>
        <v>15.675000000000001</v>
      </c>
      <c r="K18" s="29">
        <f>Расчеты!$F$11*Расчеты!$G$11</f>
        <v>31.9</v>
      </c>
      <c r="L18" s="29">
        <f>Расчеты!$F$12*Расчеты!$G$12</f>
        <v>15.75</v>
      </c>
      <c r="M18" s="29">
        <f>Расчеты!$F$13*Расчеты!$G$13</f>
        <v>23.1</v>
      </c>
      <c r="N18" s="29">
        <f>Расчеты!$F$14*Расчеты!$G$14</f>
        <v>23.625</v>
      </c>
      <c r="O18" s="29">
        <f>Расчеты!$F$15*Расчеты!$G$15</f>
        <v>3.78</v>
      </c>
      <c r="P18" s="29">
        <f>Расчеты!$F$16*Расчеты!$G$16</f>
        <v>8.16</v>
      </c>
      <c r="Q18" s="29">
        <f>Расчеты!$F$17*Расчеты!$G$17</f>
        <v>21</v>
      </c>
      <c r="R18" s="29">
        <f>'Исходный вариант 1'!$B$66</f>
        <v>0.92</v>
      </c>
      <c r="S18" s="29">
        <f>'Исходный вариант 1'!$B$67</f>
        <v>0.8</v>
      </c>
      <c r="T18" s="29">
        <f>'Исходный вариант 1'!$B$68</f>
        <v>0.12</v>
      </c>
      <c r="U18" s="29">
        <f>'Исходный вариант 1'!$B$69</f>
        <v>0.36</v>
      </c>
      <c r="V18" s="29">
        <f>'Исходный вариант 1'!$B$70</f>
        <v>0.34</v>
      </c>
      <c r="W18" s="29">
        <f>'Исходный вариант 1'!$B$71</f>
        <v>0.13</v>
      </c>
      <c r="X18" s="29">
        <f>-1*'Исходный вариант 1'!B75</f>
        <v>-29.62</v>
      </c>
      <c r="Y18" s="29">
        <f>-1*'Исходный вариант 1'!B80</f>
        <v>-16.899999999999999</v>
      </c>
      <c r="Z18" s="27">
        <f>SUMPRODUCT(C18:Y18,$C$6:$Y$6)</f>
        <v>2.3646862246096134E-11</v>
      </c>
      <c r="AA18" s="28" t="s">
        <v>126</v>
      </c>
      <c r="AB18" s="25">
        <v>0</v>
      </c>
    </row>
    <row r="19" spans="1:28" ht="45">
      <c r="A19" s="26">
        <v>13</v>
      </c>
      <c r="B19" s="119" t="s">
        <v>207</v>
      </c>
      <c r="C19" s="29">
        <f>Расчеты!$F$3*Расчеты!H3</f>
        <v>0.97199999999999998</v>
      </c>
      <c r="D19" s="29">
        <f>Расчеты!$F$4*Расчеты!$H$4</f>
        <v>1.0369999999999999</v>
      </c>
      <c r="E19" s="29">
        <f>Расчеты!$F$5*Расчеты!$H$5</f>
        <v>1.5680000000000001</v>
      </c>
      <c r="F19" s="29">
        <f>Расчеты!$F$6*Расчеты!$H$6</f>
        <v>2.016</v>
      </c>
      <c r="G19" s="29">
        <f>Расчеты!$F$7*Расчеты!$H$7</f>
        <v>2.1999999999999997</v>
      </c>
      <c r="H19" s="29">
        <f>Расчеты!$F$8*Расчеты!$H$8</f>
        <v>3.51</v>
      </c>
      <c r="I19" s="29">
        <f>Расчеты!$F$9*Расчеты!$H$9</f>
        <v>2.8000000000000003</v>
      </c>
      <c r="J19" s="29">
        <f>Расчеты!$F$10*Расчеты!$H$10</f>
        <v>1.6150000000000002</v>
      </c>
      <c r="K19" s="29">
        <f>Расчеты!$F$11*Расчеты!$H$11</f>
        <v>2.7549999999999999</v>
      </c>
      <c r="L19" s="29">
        <f>Расчеты!$F$12*Расчеты!$H$12</f>
        <v>1.6379999999999999</v>
      </c>
      <c r="M19" s="29">
        <f>Расчеты!$F$13*Расчеты!$H$13</f>
        <v>3.15</v>
      </c>
      <c r="N19" s="29">
        <f>Расчеты!$F$14*Расчеты!$H$14</f>
        <v>2.2950000000000004</v>
      </c>
      <c r="O19" s="29">
        <f>Расчеты!$F$15*Расчеты!$H$15</f>
        <v>0.36</v>
      </c>
      <c r="P19" s="29">
        <f>Расчеты!$F$16*Расчеты!$H$16</f>
        <v>0.67200000000000004</v>
      </c>
      <c r="Q19" s="29">
        <f>Расчеты!$F$17*Расчеты!$H$17</f>
        <v>2.31</v>
      </c>
      <c r="R19" s="29">
        <f>'Исходный вариант 1'!$C$66</f>
        <v>0.14000000000000001</v>
      </c>
      <c r="S19" s="29">
        <f>'Исходный вариант 1'!$C$67</f>
        <v>7.4999999999999997E-2</v>
      </c>
      <c r="T19" s="29">
        <f>'Исходный вариант 1'!$C$68</f>
        <v>1.4E-2</v>
      </c>
      <c r="U19" s="29">
        <f>'Исходный вариант 1'!$C$69</f>
        <v>1.2E-2</v>
      </c>
      <c r="V19" s="29">
        <f>'Исходный вариант 1'!$C$70</f>
        <v>3.2000000000000001E-2</v>
      </c>
      <c r="W19" s="29">
        <f>'Исходный вариант 1'!$C$71</f>
        <v>3.1E-2</v>
      </c>
      <c r="X19" s="29">
        <f>-1*'Исходный вариант 1'!B76</f>
        <v>-3.21</v>
      </c>
      <c r="Y19" s="29">
        <f>-1*'Исходный вариант 1'!B81</f>
        <v>-1.66</v>
      </c>
      <c r="Z19" s="27">
        <f t="shared" ref="Z19:Z40" si="1">SUMPRODUCT(C19:Y19,$C$6:$Y$6)</f>
        <v>3.1832314562052488E-12</v>
      </c>
      <c r="AA19" s="28" t="s">
        <v>126</v>
      </c>
      <c r="AB19" s="25">
        <v>0</v>
      </c>
    </row>
    <row r="20" spans="1:28" s="35" customFormat="1" ht="30">
      <c r="A20" s="26">
        <v>14</v>
      </c>
      <c r="B20" s="120" t="s">
        <v>208</v>
      </c>
      <c r="C20" s="33">
        <f>C18</f>
        <v>14.52</v>
      </c>
      <c r="D20" s="33">
        <f>D18</f>
        <v>12.2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3">
        <f>R18</f>
        <v>0.92</v>
      </c>
      <c r="S20" s="33">
        <f>S18</f>
        <v>0.8</v>
      </c>
      <c r="T20" s="32"/>
      <c r="U20" s="32"/>
      <c r="V20" s="32"/>
      <c r="W20" s="32"/>
      <c r="X20" s="32">
        <f>X18*'Исходный вариант 1'!B29/100</f>
        <v>-3.2582</v>
      </c>
      <c r="Y20" s="32">
        <f>Y18*'Исходный вариант 1'!B33/100</f>
        <v>-3.2109999999999999</v>
      </c>
      <c r="Z20" s="27">
        <f t="shared" si="1"/>
        <v>689.66047337278269</v>
      </c>
      <c r="AA20" s="34" t="s">
        <v>126</v>
      </c>
      <c r="AB20" s="32">
        <v>0</v>
      </c>
    </row>
    <row r="21" spans="1:28" s="35" customFormat="1" ht="30">
      <c r="A21" s="26">
        <v>15</v>
      </c>
      <c r="B21" s="120" t="s">
        <v>209</v>
      </c>
      <c r="C21" s="33">
        <f>C18</f>
        <v>14.52</v>
      </c>
      <c r="D21" s="33">
        <f>D18</f>
        <v>12.2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>
        <f>R18</f>
        <v>0.92</v>
      </c>
      <c r="S21" s="33">
        <f>S18</f>
        <v>0.8</v>
      </c>
      <c r="T21" s="32"/>
      <c r="U21" s="32"/>
      <c r="V21" s="32"/>
      <c r="W21" s="32"/>
      <c r="X21" s="32">
        <f>X18*'Исходный вариант 1'!C29/100</f>
        <v>-4.1467999999999998</v>
      </c>
      <c r="Y21" s="32">
        <f>Y18*'Исходный вариант 1'!C33/100</f>
        <v>-4.056</v>
      </c>
      <c r="Z21" s="27">
        <f t="shared" si="1"/>
        <v>2.2737367544323206E-13</v>
      </c>
      <c r="AA21" s="34" t="s">
        <v>125</v>
      </c>
      <c r="AB21" s="32">
        <v>0</v>
      </c>
    </row>
    <row r="22" spans="1:28" ht="30">
      <c r="A22" s="26">
        <v>16</v>
      </c>
      <c r="B22" s="119" t="s">
        <v>210</v>
      </c>
      <c r="C22" s="25"/>
      <c r="D22" s="25"/>
      <c r="E22" s="25"/>
      <c r="F22" s="25"/>
      <c r="G22" s="25"/>
      <c r="H22" s="25"/>
      <c r="I22" s="25"/>
      <c r="J22" s="25"/>
      <c r="K22" s="25"/>
      <c r="L22" s="29">
        <f>L18</f>
        <v>15.75</v>
      </c>
      <c r="M22" s="25"/>
      <c r="N22" s="25"/>
      <c r="O22" s="29">
        <f>O18</f>
        <v>3.78</v>
      </c>
      <c r="P22" s="25"/>
      <c r="Q22" s="25"/>
      <c r="R22" s="25"/>
      <c r="S22" s="25"/>
      <c r="T22" s="25"/>
      <c r="U22" s="29">
        <f>U18</f>
        <v>0.36</v>
      </c>
      <c r="V22" s="25"/>
      <c r="W22" s="25"/>
      <c r="X22" s="25">
        <f>X18*'Исходный вариант 1'!D29/100</f>
        <v>-2.9619999999999997</v>
      </c>
      <c r="Y22" s="25">
        <f>Y18*'Исходный вариант 1'!D33/100</f>
        <v>-2.028</v>
      </c>
      <c r="Z22" s="27">
        <f t="shared" si="1"/>
        <v>607.41047337278621</v>
      </c>
      <c r="AA22" s="28" t="s">
        <v>126</v>
      </c>
      <c r="AB22" s="25">
        <v>0</v>
      </c>
    </row>
    <row r="23" spans="1:28" ht="30">
      <c r="A23" s="26">
        <v>17</v>
      </c>
      <c r="B23" s="119" t="s">
        <v>211</v>
      </c>
      <c r="C23" s="25"/>
      <c r="D23" s="25"/>
      <c r="E23" s="25"/>
      <c r="F23" s="25"/>
      <c r="G23" s="25"/>
      <c r="H23" s="25"/>
      <c r="I23" s="25"/>
      <c r="J23" s="25"/>
      <c r="K23" s="25"/>
      <c r="L23" s="29">
        <f>L18</f>
        <v>15.75</v>
      </c>
      <c r="M23" s="25"/>
      <c r="N23" s="25"/>
      <c r="O23" s="29">
        <f>O18</f>
        <v>3.78</v>
      </c>
      <c r="P23" s="25"/>
      <c r="Q23" s="25"/>
      <c r="R23" s="25"/>
      <c r="S23" s="25"/>
      <c r="T23" s="25"/>
      <c r="U23" s="29">
        <f>U18</f>
        <v>0.36</v>
      </c>
      <c r="V23" s="25"/>
      <c r="W23" s="25"/>
      <c r="X23" s="25">
        <f>X18*'Исходный вариант 1'!E29/100</f>
        <v>-3.8506</v>
      </c>
      <c r="Y23" s="25">
        <f>Y18*'Исходный вариант 1'!E33/100</f>
        <v>-2.7039999999999997</v>
      </c>
      <c r="Z23" s="27">
        <f t="shared" si="1"/>
        <v>-9.0949470177292824E-13</v>
      </c>
      <c r="AA23" s="28" t="s">
        <v>125</v>
      </c>
      <c r="AB23" s="25">
        <v>0</v>
      </c>
    </row>
    <row r="24" spans="1:28" ht="30">
      <c r="A24" s="26">
        <v>18</v>
      </c>
      <c r="B24" s="119" t="s">
        <v>212</v>
      </c>
      <c r="C24" s="25"/>
      <c r="D24" s="25"/>
      <c r="E24" s="25"/>
      <c r="F24" s="25"/>
      <c r="G24" s="25"/>
      <c r="H24" s="25"/>
      <c r="I24" s="25"/>
      <c r="J24" s="29">
        <f>J18</f>
        <v>15.675000000000001</v>
      </c>
      <c r="K24" s="25"/>
      <c r="L24" s="25"/>
      <c r="M24" s="25"/>
      <c r="N24" s="29">
        <f>N18</f>
        <v>23.625</v>
      </c>
      <c r="O24" s="25"/>
      <c r="P24" s="25"/>
      <c r="Q24" s="25"/>
      <c r="R24" s="25"/>
      <c r="S24" s="25"/>
      <c r="T24" s="25"/>
      <c r="U24" s="25"/>
      <c r="V24" s="25"/>
      <c r="W24" s="25"/>
      <c r="X24" s="25">
        <f>X18*'Исходный вариант 1'!F29/100</f>
        <v>-3.2582</v>
      </c>
      <c r="Y24" s="25">
        <f>Y18*'Исходный вариант 1'!F33/100</f>
        <v>-1.1829999999999998</v>
      </c>
      <c r="Z24" s="27">
        <f t="shared" si="1"/>
        <v>525.16047337279019</v>
      </c>
      <c r="AA24" s="28" t="s">
        <v>126</v>
      </c>
      <c r="AB24" s="25">
        <v>0</v>
      </c>
    </row>
    <row r="25" spans="1:28" ht="30">
      <c r="A25" s="26">
        <v>19</v>
      </c>
      <c r="B25" s="119" t="s">
        <v>213</v>
      </c>
      <c r="C25" s="25"/>
      <c r="D25" s="25"/>
      <c r="E25" s="25"/>
      <c r="F25" s="25"/>
      <c r="G25" s="25"/>
      <c r="H25" s="25"/>
      <c r="I25" s="25"/>
      <c r="J25" s="29">
        <f>J18</f>
        <v>15.675000000000001</v>
      </c>
      <c r="K25" s="25"/>
      <c r="L25" s="25"/>
      <c r="M25" s="25"/>
      <c r="N25" s="29">
        <f>N18</f>
        <v>23.625</v>
      </c>
      <c r="O25" s="25"/>
      <c r="P25" s="25"/>
      <c r="Q25" s="25"/>
      <c r="R25" s="25"/>
      <c r="S25" s="25"/>
      <c r="T25" s="25"/>
      <c r="U25" s="25"/>
      <c r="V25" s="25"/>
      <c r="W25" s="25"/>
      <c r="X25" s="25">
        <f>X18*'Исходный вариант 1'!G29/100</f>
        <v>-4.1467999999999998</v>
      </c>
      <c r="Y25" s="25">
        <f>Y18*'Исходный вариант 1'!G33/100</f>
        <v>-1.69</v>
      </c>
      <c r="Z25" s="27">
        <f t="shared" si="1"/>
        <v>-1.3642420526593924E-12</v>
      </c>
      <c r="AA25" s="28" t="s">
        <v>125</v>
      </c>
      <c r="AB25" s="25">
        <v>0</v>
      </c>
    </row>
    <row r="26" spans="1:28" ht="30">
      <c r="A26" s="26">
        <v>20</v>
      </c>
      <c r="B26" s="119" t="s">
        <v>214</v>
      </c>
      <c r="C26" s="25"/>
      <c r="D26" s="25"/>
      <c r="E26" s="25"/>
      <c r="F26" s="25"/>
      <c r="G26" s="25"/>
      <c r="H26" s="25"/>
      <c r="I26" s="29">
        <f>I18</f>
        <v>18.375</v>
      </c>
      <c r="J26" s="25"/>
      <c r="K26" s="25"/>
      <c r="L26" s="25"/>
      <c r="M26" s="29">
        <f>M18</f>
        <v>23.1</v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>
        <f>X18*'Исходный вариант 1'!H29/100</f>
        <v>-7.1087999999999996</v>
      </c>
      <c r="Y26" s="25">
        <f>Y18*'Исходный вариант 1'!H33/100</f>
        <v>-2.3659999999999997</v>
      </c>
      <c r="Z26" s="27">
        <f t="shared" si="1"/>
        <v>689.66047337278087</v>
      </c>
      <c r="AA26" s="28" t="s">
        <v>126</v>
      </c>
      <c r="AB26" s="25">
        <v>0</v>
      </c>
    </row>
    <row r="27" spans="1:28" ht="30">
      <c r="A27" s="26">
        <v>21</v>
      </c>
      <c r="B27" s="30" t="s">
        <v>215</v>
      </c>
      <c r="C27" s="25"/>
      <c r="D27" s="25"/>
      <c r="E27" s="25"/>
      <c r="F27" s="25"/>
      <c r="G27" s="25"/>
      <c r="H27" s="25"/>
      <c r="I27" s="29">
        <f>I18</f>
        <v>18.375</v>
      </c>
      <c r="J27" s="25"/>
      <c r="K27" s="25"/>
      <c r="L27" s="25"/>
      <c r="M27" s="29">
        <f>M18</f>
        <v>23.1</v>
      </c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>
        <f>X18*'Исходный вариант 1'!I29/100</f>
        <v>-7.9973999999999998</v>
      </c>
      <c r="Y27" s="25">
        <f>Y18*'Исходный вариант 1'!I33/100</f>
        <v>-3.2109999999999999</v>
      </c>
      <c r="Z27" s="27">
        <f t="shared" si="1"/>
        <v>-1.8189894035458565E-12</v>
      </c>
      <c r="AA27" s="28" t="s">
        <v>125</v>
      </c>
      <c r="AB27" s="25">
        <v>0</v>
      </c>
    </row>
    <row r="28" spans="1:28" ht="30">
      <c r="A28" s="26">
        <v>22</v>
      </c>
      <c r="B28" s="119" t="s">
        <v>216</v>
      </c>
      <c r="C28" s="25"/>
      <c r="D28" s="25"/>
      <c r="E28" s="29">
        <f>E18</f>
        <v>29.4</v>
      </c>
      <c r="F28" s="29">
        <f>F18</f>
        <v>26.88</v>
      </c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>
        <f>X18*'Исходный вариант 1'!J29/100</f>
        <v>-0.29620000000000002</v>
      </c>
      <c r="Y28" s="25"/>
      <c r="Z28" s="27">
        <f t="shared" si="1"/>
        <v>92.803491124273236</v>
      </c>
      <c r="AA28" s="28" t="s">
        <v>126</v>
      </c>
      <c r="AB28" s="25">
        <v>0</v>
      </c>
    </row>
    <row r="29" spans="1:28" ht="30">
      <c r="A29" s="26">
        <v>23</v>
      </c>
      <c r="B29" s="119" t="s">
        <v>217</v>
      </c>
      <c r="C29" s="25"/>
      <c r="D29" s="25"/>
      <c r="E29" s="29">
        <f>E18</f>
        <v>29.4</v>
      </c>
      <c r="F29" s="29">
        <f>F18</f>
        <v>26.88</v>
      </c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>
        <f>X18*'Исходный вариант 1'!K29/100</f>
        <v>-0.59240000000000004</v>
      </c>
      <c r="Y29" s="25"/>
      <c r="Z29" s="27">
        <f t="shared" si="1"/>
        <v>4.9169557314598933E-12</v>
      </c>
      <c r="AA29" s="28" t="s">
        <v>125</v>
      </c>
      <c r="AB29" s="25">
        <v>0</v>
      </c>
    </row>
    <row r="30" spans="1:28" ht="45">
      <c r="A30" s="26">
        <v>24</v>
      </c>
      <c r="B30" s="119" t="s">
        <v>218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9">
        <f>V18</f>
        <v>0.34</v>
      </c>
      <c r="W30" s="29">
        <f>W18</f>
        <v>0.13</v>
      </c>
      <c r="X30" s="25"/>
      <c r="Y30" s="25">
        <f>Y18*'Исходный вариант 1'!J33/100</f>
        <v>-0.33799999999999997</v>
      </c>
      <c r="Z30" s="27">
        <f t="shared" si="1"/>
        <v>164.50000000000901</v>
      </c>
      <c r="AA30" s="28" t="s">
        <v>126</v>
      </c>
      <c r="AB30" s="25">
        <v>0</v>
      </c>
    </row>
    <row r="31" spans="1:28" ht="45">
      <c r="A31" s="26">
        <v>25</v>
      </c>
      <c r="B31" s="119" t="s">
        <v>219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9">
        <f>V18</f>
        <v>0.34</v>
      </c>
      <c r="W31" s="29">
        <f>W18</f>
        <v>0.13</v>
      </c>
      <c r="X31" s="25"/>
      <c r="Y31" s="25">
        <f>Y18*'Исходный вариант 1'!K33/100</f>
        <v>-0.67599999999999993</v>
      </c>
      <c r="Z31" s="27">
        <f t="shared" si="1"/>
        <v>1.8019363778876141E-11</v>
      </c>
      <c r="AA31" s="28" t="s">
        <v>125</v>
      </c>
      <c r="AB31" s="25">
        <v>0</v>
      </c>
    </row>
    <row r="32" spans="1:28" ht="30">
      <c r="A32" s="26">
        <v>26</v>
      </c>
      <c r="B32" s="119" t="s">
        <v>220</v>
      </c>
      <c r="C32" s="25"/>
      <c r="D32" s="25"/>
      <c r="E32" s="25"/>
      <c r="F32" s="25"/>
      <c r="G32" s="29">
        <f>G18</f>
        <v>18</v>
      </c>
      <c r="H32" s="29">
        <f>H18</f>
        <v>20.8</v>
      </c>
      <c r="I32" s="25"/>
      <c r="J32" s="25"/>
      <c r="K32" s="29">
        <f>K18</f>
        <v>31.9</v>
      </c>
      <c r="L32" s="25"/>
      <c r="M32" s="25"/>
      <c r="N32" s="25"/>
      <c r="O32" s="25"/>
      <c r="P32" s="29">
        <f>P18</f>
        <v>8.16</v>
      </c>
      <c r="Q32" s="29">
        <f>Q18</f>
        <v>21</v>
      </c>
      <c r="R32" s="25"/>
      <c r="S32" s="25"/>
      <c r="T32" s="29">
        <f>T18</f>
        <v>0.12</v>
      </c>
      <c r="U32" s="25"/>
      <c r="V32" s="25"/>
      <c r="W32" s="25"/>
      <c r="X32" s="25">
        <f>X18*'Исходный вариант 1'!L29/100</f>
        <v>-7.7012</v>
      </c>
      <c r="Y32" s="25">
        <f>Y18*'Исходный вариант 1'!L33/100</f>
        <v>-3.7179999999999995</v>
      </c>
      <c r="Z32" s="27">
        <f t="shared" si="1"/>
        <v>782.46396449705344</v>
      </c>
      <c r="AA32" s="28" t="s">
        <v>126</v>
      </c>
      <c r="AB32" s="25">
        <v>0</v>
      </c>
    </row>
    <row r="33" spans="1:28" ht="30">
      <c r="A33" s="26">
        <v>27</v>
      </c>
      <c r="B33" s="119" t="s">
        <v>221</v>
      </c>
      <c r="C33" s="25"/>
      <c r="D33" s="25"/>
      <c r="E33" s="25"/>
      <c r="F33" s="25"/>
      <c r="G33" s="29">
        <f>G18</f>
        <v>18</v>
      </c>
      <c r="H33" s="29">
        <f>H18</f>
        <v>20.8</v>
      </c>
      <c r="I33" s="25"/>
      <c r="J33" s="25"/>
      <c r="K33" s="29">
        <f>K18</f>
        <v>31.9</v>
      </c>
      <c r="L33" s="25"/>
      <c r="M33" s="25"/>
      <c r="N33" s="25"/>
      <c r="O33" s="25"/>
      <c r="P33" s="29">
        <f>P18</f>
        <v>8.16</v>
      </c>
      <c r="Q33" s="29">
        <f>Q18</f>
        <v>21</v>
      </c>
      <c r="R33" s="25"/>
      <c r="S33" s="25"/>
      <c r="T33" s="29">
        <f>T18</f>
        <v>0.12</v>
      </c>
      <c r="U33" s="25"/>
      <c r="V33" s="25"/>
      <c r="W33" s="25"/>
      <c r="X33" s="25">
        <f>X18*'Исходный вариант 1'!M29/100</f>
        <v>-8.886000000000001</v>
      </c>
      <c r="Y33" s="25">
        <f>Y18*'Исходный вариант 1'!M33/100</f>
        <v>-4.5629999999999997</v>
      </c>
      <c r="Z33" s="27">
        <f t="shared" si="1"/>
        <v>2.7284841053187847E-12</v>
      </c>
      <c r="AA33" s="28" t="s">
        <v>125</v>
      </c>
      <c r="AB33" s="25">
        <v>0</v>
      </c>
    </row>
    <row r="34" spans="1:28" s="148" customFormat="1" ht="45">
      <c r="A34" s="142">
        <v>28</v>
      </c>
      <c r="B34" s="143" t="s">
        <v>222</v>
      </c>
      <c r="C34" s="144"/>
      <c r="D34" s="144"/>
      <c r="E34" s="144"/>
      <c r="F34" s="144"/>
      <c r="G34" s="144"/>
      <c r="H34" s="144"/>
      <c r="I34" s="144"/>
      <c r="J34" s="144">
        <f>-J18*'Исходный вариант 1'!$C$83/100</f>
        <v>-3.9187500000000002</v>
      </c>
      <c r="K34" s="144"/>
      <c r="L34" s="144">
        <f>-L18*'Исходный вариант 1'!$C$83/100</f>
        <v>-3.9375</v>
      </c>
      <c r="M34" s="144"/>
      <c r="N34" s="144">
        <f>-N18*'Исходный вариант 1'!$C$83/100</f>
        <v>-5.90625</v>
      </c>
      <c r="O34" s="144">
        <f>-O18*'Исходный вариант 1'!$C$83/100</f>
        <v>-0.94499999999999995</v>
      </c>
      <c r="P34" s="144"/>
      <c r="Q34" s="144"/>
      <c r="R34" s="144"/>
      <c r="S34" s="144"/>
      <c r="T34" s="144"/>
      <c r="U34" s="145">
        <f>U18*(1-'Исходный вариант 1'!C83/100)</f>
        <v>0.27</v>
      </c>
      <c r="V34" s="144"/>
      <c r="W34" s="144"/>
      <c r="X34" s="144"/>
      <c r="Y34" s="144"/>
      <c r="Z34" s="146">
        <f t="shared" si="1"/>
        <v>-1161.0485650887813</v>
      </c>
      <c r="AA34" s="147" t="s">
        <v>125</v>
      </c>
      <c r="AB34" s="144">
        <v>0</v>
      </c>
    </row>
    <row r="35" spans="1:28" s="148" customFormat="1" ht="45">
      <c r="A35" s="142">
        <v>29</v>
      </c>
      <c r="B35" s="143" t="s">
        <v>223</v>
      </c>
      <c r="C35" s="144"/>
      <c r="D35" s="144"/>
      <c r="E35" s="145">
        <f>E18*(1-'Исходный вариант 1'!C84/100)</f>
        <v>20.58</v>
      </c>
      <c r="F35" s="145">
        <f>-F18*'Исходный вариант 1'!C84/100</f>
        <v>-8.0640000000000001</v>
      </c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6">
        <f t="shared" si="1"/>
        <v>1.4779288903810084E-12</v>
      </c>
      <c r="AA35" s="147" t="s">
        <v>125</v>
      </c>
      <c r="AB35" s="144">
        <v>0</v>
      </c>
    </row>
    <row r="36" spans="1:28" s="148" customFormat="1" ht="60">
      <c r="A36" s="142">
        <v>30</v>
      </c>
      <c r="B36" s="143" t="s">
        <v>224</v>
      </c>
      <c r="C36" s="144"/>
      <c r="D36" s="144"/>
      <c r="E36" s="144"/>
      <c r="F36" s="144"/>
      <c r="G36" s="145">
        <f>-G18*'Исходный вариант 1'!$C$85/100</f>
        <v>-5.4</v>
      </c>
      <c r="H36" s="145">
        <f>-H18*'Исходный вариант 1'!$C$85/100</f>
        <v>-6.24</v>
      </c>
      <c r="I36" s="145"/>
      <c r="J36" s="145"/>
      <c r="K36" s="145">
        <f>-K18*'Исходный вариант 1'!$C$85/100</f>
        <v>-9.57</v>
      </c>
      <c r="L36" s="144"/>
      <c r="M36" s="144"/>
      <c r="N36" s="144"/>
      <c r="O36" s="144"/>
      <c r="P36" s="145">
        <f>P18*(1-'Исходный вариант 1'!$C$85/100)</f>
        <v>5.7119999999999997</v>
      </c>
      <c r="Q36" s="145">
        <f>Q18*(1-'Исходный вариант 1'!$C$85/100)</f>
        <v>14.7</v>
      </c>
      <c r="R36" s="144"/>
      <c r="S36" s="144"/>
      <c r="T36" s="145">
        <f>-T18*'Исходный вариант 1'!$C$85/100</f>
        <v>-3.5999999999999997E-2</v>
      </c>
      <c r="U36" s="144"/>
      <c r="V36" s="144"/>
      <c r="W36" s="144"/>
      <c r="X36" s="144"/>
      <c r="Y36" s="144"/>
      <c r="Z36" s="146">
        <f t="shared" si="1"/>
        <v>-268.3781636320349</v>
      </c>
      <c r="AA36" s="147" t="s">
        <v>125</v>
      </c>
      <c r="AB36" s="144">
        <v>0</v>
      </c>
    </row>
    <row r="37" spans="1:28" ht="30">
      <c r="A37" s="26">
        <v>31</v>
      </c>
      <c r="B37" s="121" t="s">
        <v>225</v>
      </c>
      <c r="C37" s="25"/>
      <c r="D37" s="25"/>
      <c r="E37" s="25"/>
      <c r="F37" s="25"/>
      <c r="G37" s="29"/>
      <c r="H37" s="29"/>
      <c r="I37" s="25"/>
      <c r="J37" s="25"/>
      <c r="K37" s="29"/>
      <c r="L37" s="25"/>
      <c r="M37" s="25"/>
      <c r="N37" s="25"/>
      <c r="O37" s="25"/>
      <c r="P37" s="29"/>
      <c r="Q37" s="29"/>
      <c r="R37" s="25"/>
      <c r="S37" s="25"/>
      <c r="T37" s="29"/>
      <c r="U37" s="25"/>
      <c r="V37" s="25"/>
      <c r="W37" s="25"/>
      <c r="X37" s="25">
        <v>1</v>
      </c>
      <c r="Y37" s="25">
        <v>1</v>
      </c>
      <c r="Z37" s="27">
        <f t="shared" si="1"/>
        <v>800.00000000000023</v>
      </c>
      <c r="AA37" s="28" t="s">
        <v>126</v>
      </c>
      <c r="AB37" s="25">
        <f>'Исходный вариант 1'!B36</f>
        <v>800</v>
      </c>
    </row>
    <row r="38" spans="1:28" ht="30">
      <c r="A38" s="26">
        <v>32</v>
      </c>
      <c r="B38" s="121" t="s">
        <v>226</v>
      </c>
      <c r="C38" s="25"/>
      <c r="D38" s="25"/>
      <c r="E38" s="25"/>
      <c r="F38" s="25"/>
      <c r="G38" s="29"/>
      <c r="H38" s="29"/>
      <c r="I38" s="25"/>
      <c r="J38" s="25"/>
      <c r="K38" s="29"/>
      <c r="L38" s="25"/>
      <c r="M38" s="25"/>
      <c r="N38" s="25"/>
      <c r="O38" s="25"/>
      <c r="P38" s="29"/>
      <c r="Q38" s="29"/>
      <c r="R38" s="25"/>
      <c r="S38" s="25"/>
      <c r="T38" s="29"/>
      <c r="U38" s="25"/>
      <c r="V38" s="25"/>
      <c r="W38" s="25"/>
      <c r="X38" s="25">
        <v>1</v>
      </c>
      <c r="Y38" s="25">
        <v>1</v>
      </c>
      <c r="Z38" s="27">
        <f t="shared" si="1"/>
        <v>800.00000000000023</v>
      </c>
      <c r="AA38" s="28" t="s">
        <v>125</v>
      </c>
      <c r="AB38" s="25">
        <f>'Исходный вариант 1'!B37</f>
        <v>900</v>
      </c>
    </row>
    <row r="39" spans="1:28" ht="30">
      <c r="A39" s="26">
        <v>33</v>
      </c>
      <c r="B39" s="121" t="s">
        <v>227</v>
      </c>
      <c r="C39" s="25"/>
      <c r="D39" s="25"/>
      <c r="E39" s="25"/>
      <c r="F39" s="25"/>
      <c r="G39" s="29"/>
      <c r="H39" s="29"/>
      <c r="I39" s="25"/>
      <c r="J39" s="25"/>
      <c r="K39" s="29"/>
      <c r="L39" s="25"/>
      <c r="M39" s="25"/>
      <c r="N39" s="25"/>
      <c r="O39" s="25"/>
      <c r="P39" s="29"/>
      <c r="Q39" s="29"/>
      <c r="R39" s="25"/>
      <c r="S39" s="25"/>
      <c r="T39" s="29"/>
      <c r="U39" s="25"/>
      <c r="V39" s="25"/>
      <c r="W39" s="25"/>
      <c r="X39" s="25">
        <f>1-'Исходный вариант 1'!B38/100</f>
        <v>0.7</v>
      </c>
      <c r="Y39" s="25">
        <f>-1+(1-'Исходный вариант 1'!B38/100)</f>
        <v>-0.30000000000000004</v>
      </c>
      <c r="Z39" s="27">
        <f t="shared" si="1"/>
        <v>73.313609467482394</v>
      </c>
      <c r="AA39" s="28" t="s">
        <v>126</v>
      </c>
      <c r="AB39" s="25">
        <v>0</v>
      </c>
    </row>
    <row r="40" spans="1:28" ht="30">
      <c r="A40" s="26">
        <v>34</v>
      </c>
      <c r="B40" s="121" t="s">
        <v>228</v>
      </c>
      <c r="C40" s="25"/>
      <c r="D40" s="25"/>
      <c r="E40" s="25"/>
      <c r="F40" s="25"/>
      <c r="G40" s="29"/>
      <c r="H40" s="29"/>
      <c r="I40" s="25"/>
      <c r="J40" s="25"/>
      <c r="K40" s="29"/>
      <c r="L40" s="25"/>
      <c r="M40" s="25"/>
      <c r="N40" s="25"/>
      <c r="O40" s="25"/>
      <c r="P40" s="29"/>
      <c r="Q40" s="29"/>
      <c r="R40" s="25"/>
      <c r="S40" s="25"/>
      <c r="T40" s="29"/>
      <c r="U40" s="25"/>
      <c r="V40" s="25"/>
      <c r="W40" s="25"/>
      <c r="X40" s="25">
        <f>1-'Исходный вариант 1'!B39/100</f>
        <v>0.6</v>
      </c>
      <c r="Y40" s="25">
        <f>-1+(1-'Исходный вариант 1'!B39/100)</f>
        <v>-0.4</v>
      </c>
      <c r="Z40" s="27">
        <f t="shared" si="1"/>
        <v>-6.6863905325176347</v>
      </c>
      <c r="AA40" s="28" t="s">
        <v>125</v>
      </c>
      <c r="AB40" s="25">
        <v>0</v>
      </c>
    </row>
    <row r="41" spans="1:28">
      <c r="A41" s="122"/>
      <c r="B41" s="119" t="s">
        <v>124</v>
      </c>
      <c r="C41" s="25">
        <f>'Исходный вариант 1'!$E$11</f>
        <v>22608</v>
      </c>
      <c r="D41" s="25">
        <f>'Исходный вариант 1'!$E$12</f>
        <v>16852.5</v>
      </c>
      <c r="E41" s="25">
        <f>'Исходный вариант 1'!$E$13</f>
        <v>155625</v>
      </c>
      <c r="F41" s="25">
        <f>'Исходный вариант 1'!$E$14</f>
        <v>164733.75</v>
      </c>
      <c r="G41" s="25">
        <f>'Исходный вариант 1'!$E$15</f>
        <v>5058.75</v>
      </c>
      <c r="H41" s="25">
        <f>'Исходный вариант 1'!$E$16</f>
        <v>5090.25</v>
      </c>
      <c r="I41" s="25">
        <f>'Исходный вариант 1'!$E$17</f>
        <v>18915</v>
      </c>
      <c r="J41" s="25">
        <f>'Исходный вариант 1'!$E$18</f>
        <v>16172.25</v>
      </c>
      <c r="K41" s="25">
        <f>'Исходный вариант 1'!$E$19</f>
        <v>4337.25</v>
      </c>
      <c r="L41" s="25">
        <f>'Исходный вариант 1'!$E$20</f>
        <v>4702.5</v>
      </c>
      <c r="M41" s="25">
        <f>'Исходный вариант 1'!$E$21</f>
        <v>12875.25</v>
      </c>
      <c r="N41" s="25">
        <f>'Исходный вариант 1'!$E$22</f>
        <v>19404</v>
      </c>
      <c r="O41" s="25">
        <f>'Исходный вариант 1'!$E$23</f>
        <v>1535.25</v>
      </c>
      <c r="P41" s="25">
        <f>'Исходный вариант 1'!$E$24</f>
        <v>0</v>
      </c>
      <c r="Q41" s="25">
        <f>'Исходный вариант 1'!$E$25</f>
        <v>3122.25</v>
      </c>
      <c r="R41" s="25">
        <f>'Исходный вариант 1'!C42</f>
        <v>675</v>
      </c>
      <c r="S41" s="25">
        <f>'Исходный вариант 1'!C43</f>
        <v>300</v>
      </c>
      <c r="T41" s="25">
        <f>'Исходный вариант 1'!C44</f>
        <v>150</v>
      </c>
      <c r="U41" s="25">
        <f>'Исходный вариант 1'!C45</f>
        <v>315</v>
      </c>
      <c r="V41" s="25">
        <f>'Исходный вариант 1'!C46</f>
        <v>2415</v>
      </c>
      <c r="W41" s="25">
        <f>'Исходный вариант 1'!C47</f>
        <v>562.5</v>
      </c>
      <c r="X41" s="25"/>
      <c r="Y41" s="25"/>
      <c r="Z41" s="36">
        <f>SUMPRODUCT(C41:Y41,$C$6:$Y$6)</f>
        <v>12217716.992939904</v>
      </c>
      <c r="AA41" s="25"/>
      <c r="AB41" s="25"/>
    </row>
    <row r="50" spans="5:5">
      <c r="E50" s="31"/>
    </row>
  </sheetData>
  <mergeCells count="7">
    <mergeCell ref="B3:B5"/>
    <mergeCell ref="A3:A5"/>
    <mergeCell ref="AB3:AB5"/>
    <mergeCell ref="B2:R2"/>
    <mergeCell ref="C3:Y3"/>
    <mergeCell ref="Z3:Z5"/>
    <mergeCell ref="AA3:AA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4"/>
  <sheetViews>
    <sheetView topLeftCell="A37" workbookViewId="0">
      <selection activeCell="B75" sqref="B75"/>
    </sheetView>
  </sheetViews>
  <sheetFormatPr defaultRowHeight="15"/>
  <cols>
    <col min="1" max="1" width="20.85546875" customWidth="1"/>
    <col min="2" max="7" width="11.28515625" customWidth="1"/>
    <col min="8" max="8" width="16.5703125" customWidth="1"/>
    <col min="9" max="9" width="9.140625" customWidth="1"/>
  </cols>
  <sheetData>
    <row r="1" spans="1:9">
      <c r="A1" s="100" t="s">
        <v>233</v>
      </c>
    </row>
    <row r="2" spans="1:9" s="37" customFormat="1">
      <c r="A2" s="150" t="s">
        <v>10</v>
      </c>
      <c r="B2" s="182" t="s">
        <v>128</v>
      </c>
      <c r="C2" s="182"/>
      <c r="D2" s="182" t="s">
        <v>129</v>
      </c>
      <c r="E2" s="182"/>
      <c r="F2" s="150" t="s">
        <v>130</v>
      </c>
      <c r="G2" s="47"/>
    </row>
    <row r="3" spans="1:9" s="37" customFormat="1">
      <c r="A3" s="150"/>
      <c r="B3" s="48" t="s">
        <v>9</v>
      </c>
      <c r="C3" s="48" t="s">
        <v>131</v>
      </c>
      <c r="D3" s="48" t="s">
        <v>9</v>
      </c>
      <c r="E3" s="48" t="s">
        <v>131</v>
      </c>
      <c r="F3" s="150"/>
      <c r="G3" s="47"/>
    </row>
    <row r="4" spans="1:9" s="37" customFormat="1" ht="15.75">
      <c r="A4" s="49" t="s">
        <v>11</v>
      </c>
      <c r="B4" s="48">
        <f>'Исходный вариант 1'!C11</f>
        <v>70</v>
      </c>
      <c r="C4" s="50">
        <f>B4/$B$19*100</f>
        <v>5.6542810985460417</v>
      </c>
      <c r="D4" s="51">
        <f>Матрица!C6</f>
        <v>0</v>
      </c>
      <c r="E4" s="50">
        <f>D4/$D$19*100</f>
        <v>0</v>
      </c>
      <c r="F4" s="50">
        <f>D4/B4*100</f>
        <v>0</v>
      </c>
      <c r="G4" s="52"/>
      <c r="H4" s="44"/>
      <c r="I4" s="3"/>
    </row>
    <row r="5" spans="1:9" s="37" customFormat="1" ht="15.75">
      <c r="A5" s="49" t="s">
        <v>12</v>
      </c>
      <c r="B5" s="48">
        <f>'Исходный вариант 1'!C12</f>
        <v>140</v>
      </c>
      <c r="C5" s="50">
        <f t="shared" ref="C5:C18" si="0">B5/$B$19*100</f>
        <v>11.308562197092083</v>
      </c>
      <c r="D5" s="51">
        <f>Матрица!D6</f>
        <v>196.98761276554495</v>
      </c>
      <c r="E5" s="50">
        <f t="shared" ref="E5:E18" si="1">D5/$D$19*100</f>
        <v>22.381652374507347</v>
      </c>
      <c r="F5" s="50">
        <f t="shared" ref="F5:F19" si="2">D5/B5*100</f>
        <v>140.70543768967497</v>
      </c>
      <c r="G5" s="52"/>
      <c r="H5" s="42"/>
      <c r="I5" s="43"/>
    </row>
    <row r="6" spans="1:9" s="37" customFormat="1" ht="15.75">
      <c r="A6" s="49" t="s">
        <v>13</v>
      </c>
      <c r="B6" s="48">
        <f>'Исходный вариант 1'!C13</f>
        <v>20</v>
      </c>
      <c r="C6" s="50">
        <f t="shared" si="0"/>
        <v>1.615508885298869</v>
      </c>
      <c r="D6" s="51">
        <f>Матрица!E6</f>
        <v>1.893948798454556</v>
      </c>
      <c r="E6" s="50">
        <f t="shared" si="1"/>
        <v>0.21518969150906997</v>
      </c>
      <c r="F6" s="50">
        <f t="shared" si="2"/>
        <v>9.4697439922727806</v>
      </c>
      <c r="G6" s="52"/>
      <c r="H6" s="42"/>
      <c r="I6" s="43"/>
    </row>
    <row r="7" spans="1:9" s="37" customFormat="1" ht="15.75">
      <c r="A7" s="49" t="s">
        <v>14</v>
      </c>
      <c r="B7" s="48">
        <f>'Исходный вариант 1'!C14</f>
        <v>8</v>
      </c>
      <c r="C7" s="50">
        <f t="shared" si="0"/>
        <v>0.64620355411954766</v>
      </c>
      <c r="D7" s="51">
        <f>Матрица!F6</f>
        <v>4.8335151627223816</v>
      </c>
      <c r="E7" s="50">
        <f t="shared" si="1"/>
        <v>0.54918202520541815</v>
      </c>
      <c r="F7" s="50">
        <f t="shared" si="2"/>
        <v>60.418939534029768</v>
      </c>
      <c r="G7" s="52"/>
      <c r="H7" s="42"/>
      <c r="I7" s="43"/>
    </row>
    <row r="8" spans="1:9" s="37" customFormat="1" ht="30.75" customHeight="1">
      <c r="A8" s="53" t="s">
        <v>15</v>
      </c>
      <c r="B8" s="48">
        <f>'Исходный вариант 1'!C15</f>
        <v>30</v>
      </c>
      <c r="C8" s="50">
        <f t="shared" si="0"/>
        <v>2.4232633279483036</v>
      </c>
      <c r="D8" s="51">
        <f>Матрица!G6</f>
        <v>0</v>
      </c>
      <c r="E8" s="50">
        <f t="shared" si="1"/>
        <v>0</v>
      </c>
      <c r="F8" s="50">
        <f t="shared" si="2"/>
        <v>0</v>
      </c>
      <c r="G8" s="54"/>
      <c r="H8" s="42"/>
      <c r="I8" s="43"/>
    </row>
    <row r="9" spans="1:9" s="37" customFormat="1" ht="31.5" customHeight="1">
      <c r="A9" s="53" t="s">
        <v>17</v>
      </c>
      <c r="B9" s="48">
        <f>'Исходный вариант 1'!C16</f>
        <v>50</v>
      </c>
      <c r="C9" s="50">
        <f t="shared" si="0"/>
        <v>4.0387722132471726</v>
      </c>
      <c r="D9" s="51">
        <f>Матрица!H6</f>
        <v>0</v>
      </c>
      <c r="E9" s="50">
        <f t="shared" si="1"/>
        <v>0</v>
      </c>
      <c r="F9" s="50">
        <f t="shared" si="2"/>
        <v>0</v>
      </c>
      <c r="G9" s="54"/>
      <c r="H9" s="42"/>
      <c r="I9" s="43"/>
    </row>
    <row r="10" spans="1:9" s="37" customFormat="1" ht="15.75">
      <c r="A10" s="49" t="s">
        <v>30</v>
      </c>
      <c r="B10" s="48">
        <f>'Исходный вариант 1'!C17</f>
        <v>60</v>
      </c>
      <c r="C10" s="50">
        <f t="shared" si="0"/>
        <v>4.8465266558966071</v>
      </c>
      <c r="D10" s="51">
        <f>Матрица!I6</f>
        <v>0</v>
      </c>
      <c r="E10" s="50">
        <f t="shared" si="1"/>
        <v>0</v>
      </c>
      <c r="F10" s="50">
        <f t="shared" si="2"/>
        <v>0</v>
      </c>
      <c r="G10" s="52"/>
      <c r="H10" s="42"/>
      <c r="I10" s="43"/>
    </row>
    <row r="11" spans="1:9" s="37" customFormat="1" ht="15.75">
      <c r="A11" s="49" t="s">
        <v>29</v>
      </c>
      <c r="B11" s="48">
        <f>'Исходный вариант 1'!C18</f>
        <v>70</v>
      </c>
      <c r="C11" s="50">
        <f t="shared" si="0"/>
        <v>5.6542810985460417</v>
      </c>
      <c r="D11" s="51">
        <f>Матрица!J6</f>
        <v>0</v>
      </c>
      <c r="E11" s="50">
        <f t="shared" si="1"/>
        <v>0</v>
      </c>
      <c r="F11" s="50">
        <f t="shared" si="2"/>
        <v>0</v>
      </c>
      <c r="G11" s="52"/>
      <c r="H11" s="42"/>
      <c r="I11" s="43"/>
    </row>
    <row r="12" spans="1:9" s="37" customFormat="1" ht="30.75" customHeight="1">
      <c r="A12" s="53" t="s">
        <v>18</v>
      </c>
      <c r="B12" s="48">
        <f>'Исходный вариант 1'!C19</f>
        <v>160</v>
      </c>
      <c r="C12" s="50">
        <f t="shared" si="0"/>
        <v>12.924071082390952</v>
      </c>
      <c r="D12" s="51">
        <f>Матрица!K6</f>
        <v>118.2375071235607</v>
      </c>
      <c r="E12" s="50">
        <f t="shared" si="1"/>
        <v>13.4340974283371</v>
      </c>
      <c r="F12" s="50">
        <f t="shared" si="2"/>
        <v>73.89844195222544</v>
      </c>
      <c r="G12" s="54"/>
      <c r="H12" s="42"/>
      <c r="I12" s="43"/>
    </row>
    <row r="13" spans="1:9" s="37" customFormat="1" ht="15.75">
      <c r="A13" s="49" t="s">
        <v>70</v>
      </c>
      <c r="B13" s="48">
        <f>'Исходный вариант 1'!C20</f>
        <v>120</v>
      </c>
      <c r="C13" s="50">
        <f t="shared" si="0"/>
        <v>9.6930533117932143</v>
      </c>
      <c r="D13" s="51">
        <f>Матрица!L6</f>
        <v>160.15526251526447</v>
      </c>
      <c r="E13" s="50">
        <f t="shared" si="1"/>
        <v>18.196775732446397</v>
      </c>
      <c r="F13" s="50">
        <f t="shared" si="2"/>
        <v>133.46271876272041</v>
      </c>
      <c r="G13" s="52"/>
      <c r="H13" s="42"/>
      <c r="I13" s="43"/>
    </row>
    <row r="14" spans="1:9" s="37" customFormat="1" ht="15.75">
      <c r="A14" s="49" t="s">
        <v>30</v>
      </c>
      <c r="B14" s="48">
        <f>'Исходный вариант 1'!C21</f>
        <v>150</v>
      </c>
      <c r="C14" s="50">
        <f t="shared" si="0"/>
        <v>12.116316639741518</v>
      </c>
      <c r="D14" s="51">
        <f>Матрица!M6</f>
        <v>176.12312815390288</v>
      </c>
      <c r="E14" s="50">
        <f t="shared" si="1"/>
        <v>20.011038126255944</v>
      </c>
      <c r="F14" s="50">
        <f t="shared" si="2"/>
        <v>117.4154187692686</v>
      </c>
      <c r="G14" s="52"/>
      <c r="H14" s="42"/>
      <c r="I14" s="43"/>
    </row>
    <row r="15" spans="1:9" s="37" customFormat="1" ht="15.75">
      <c r="A15" s="49" t="s">
        <v>29</v>
      </c>
      <c r="B15" s="48">
        <f>'Исходный вариант 1'!C22</f>
        <v>90</v>
      </c>
      <c r="C15" s="50">
        <f t="shared" si="0"/>
        <v>7.2697899838449116</v>
      </c>
      <c r="D15" s="51">
        <f>Матрица!N6</f>
        <v>89.809476221786667</v>
      </c>
      <c r="E15" s="50">
        <f t="shared" si="1"/>
        <v>10.204116129500077</v>
      </c>
      <c r="F15" s="50">
        <f t="shared" si="2"/>
        <v>99.788306913096292</v>
      </c>
      <c r="G15" s="52"/>
      <c r="H15" s="42"/>
      <c r="I15" s="43"/>
    </row>
    <row r="16" spans="1:9" s="37" customFormat="1" ht="30">
      <c r="A16" s="53" t="s">
        <v>4</v>
      </c>
      <c r="B16" s="48">
        <f>'Исходный вариант 1'!C23</f>
        <v>90</v>
      </c>
      <c r="C16" s="50">
        <f t="shared" si="0"/>
        <v>7.2697899838449116</v>
      </c>
      <c r="D16" s="51">
        <f>Матрица!O6</f>
        <v>0</v>
      </c>
      <c r="E16" s="50">
        <f>D16/$D$19*100</f>
        <v>0</v>
      </c>
      <c r="F16" s="50">
        <f t="shared" si="2"/>
        <v>0</v>
      </c>
      <c r="G16" s="54"/>
      <c r="H16" s="42"/>
      <c r="I16" s="43"/>
    </row>
    <row r="17" spans="1:9" s="37" customFormat="1" ht="30">
      <c r="A17" s="53" t="s">
        <v>5</v>
      </c>
      <c r="B17" s="48">
        <f>'Исходный вариант 1'!C24</f>
        <v>120</v>
      </c>
      <c r="C17" s="50">
        <f t="shared" si="0"/>
        <v>9.6930533117932143</v>
      </c>
      <c r="D17" s="51">
        <f>Матрица!P6</f>
        <v>119.99999999999801</v>
      </c>
      <c r="E17" s="50">
        <f t="shared" si="1"/>
        <v>13.634351151498441</v>
      </c>
      <c r="F17" s="50">
        <f t="shared" si="2"/>
        <v>99.999999999998352</v>
      </c>
      <c r="G17" s="54"/>
      <c r="H17" s="42"/>
      <c r="I17" s="43"/>
    </row>
    <row r="18" spans="1:9" s="37" customFormat="1" ht="15.75" customHeight="1">
      <c r="A18" s="53" t="s">
        <v>6</v>
      </c>
      <c r="B18" s="48">
        <f>'Исходный вариант 1'!C25</f>
        <v>60</v>
      </c>
      <c r="C18" s="50">
        <f t="shared" si="0"/>
        <v>4.8465266558966071</v>
      </c>
      <c r="D18" s="51">
        <f>Матрица!Q6</f>
        <v>12.089440785064804</v>
      </c>
      <c r="E18" s="50">
        <f t="shared" si="1"/>
        <v>1.373597340740194</v>
      </c>
      <c r="F18" s="50">
        <f t="shared" si="2"/>
        <v>20.149067975108007</v>
      </c>
      <c r="G18" s="54"/>
      <c r="H18" s="42"/>
      <c r="I18" s="43"/>
    </row>
    <row r="19" spans="1:9" s="37" customFormat="1">
      <c r="A19" s="49" t="s">
        <v>127</v>
      </c>
      <c r="B19" s="48">
        <f>SUM(B4:B18)</f>
        <v>1238</v>
      </c>
      <c r="C19" s="55">
        <f>SUM(C4:C18)</f>
        <v>100</v>
      </c>
      <c r="D19" s="51">
        <f>SUM(D4:D18)</f>
        <v>880.1298915262995</v>
      </c>
      <c r="E19" s="50">
        <f>SUM(E4:E18)</f>
        <v>99.999999999999986</v>
      </c>
      <c r="F19" s="50">
        <f t="shared" si="2"/>
        <v>71.09288299889333</v>
      </c>
      <c r="G19" s="47"/>
    </row>
    <row r="20" spans="1:9" s="37" customFormat="1">
      <c r="A20" s="103" t="s">
        <v>234</v>
      </c>
      <c r="B20" s="47"/>
      <c r="C20" s="47"/>
      <c r="D20" s="47"/>
      <c r="E20" s="47"/>
      <c r="F20" s="47"/>
      <c r="G20" s="47"/>
    </row>
    <row r="21" spans="1:9" s="37" customFormat="1" ht="32.25" customHeight="1">
      <c r="A21" s="150" t="s">
        <v>10</v>
      </c>
      <c r="B21" s="151" t="s">
        <v>247</v>
      </c>
      <c r="C21" s="151"/>
      <c r="D21" s="150" t="s">
        <v>128</v>
      </c>
      <c r="E21" s="150"/>
      <c r="F21" s="150" t="s">
        <v>129</v>
      </c>
      <c r="G21" s="150"/>
    </row>
    <row r="22" spans="1:9" s="37" customFormat="1" ht="31.15" customHeight="1">
      <c r="A22" s="150"/>
      <c r="B22" s="48" t="s">
        <v>128</v>
      </c>
      <c r="C22" s="48" t="s">
        <v>129</v>
      </c>
      <c r="D22" s="48" t="s">
        <v>132</v>
      </c>
      <c r="E22" s="56" t="s">
        <v>133</v>
      </c>
      <c r="F22" s="48" t="s">
        <v>132</v>
      </c>
      <c r="G22" s="57" t="s">
        <v>133</v>
      </c>
    </row>
    <row r="23" spans="1:9" s="37" customFormat="1">
      <c r="A23" s="58" t="s">
        <v>11</v>
      </c>
      <c r="B23" s="48">
        <f>B4</f>
        <v>70</v>
      </c>
      <c r="C23" s="51">
        <f>D4</f>
        <v>0</v>
      </c>
      <c r="D23" s="51">
        <f>B23*Расчеты!I3</f>
        <v>1016.4</v>
      </c>
      <c r="E23" s="51">
        <f>B23*Расчеты!J3</f>
        <v>68.039999999999992</v>
      </c>
      <c r="F23" s="51">
        <f>C23*Расчеты!I3</f>
        <v>0</v>
      </c>
      <c r="G23" s="51">
        <f>C23*Расчеты!J3</f>
        <v>0</v>
      </c>
    </row>
    <row r="24" spans="1:9" s="37" customFormat="1">
      <c r="A24" s="58" t="s">
        <v>12</v>
      </c>
      <c r="B24" s="48">
        <f t="shared" ref="B24:B37" si="3">B5</f>
        <v>140</v>
      </c>
      <c r="C24" s="51">
        <f t="shared" ref="C24:C37" si="4">D5</f>
        <v>196.98761276554495</v>
      </c>
      <c r="D24" s="51">
        <f>B24*Расчеты!I4</f>
        <v>1708</v>
      </c>
      <c r="E24" s="51">
        <f>B24*Расчеты!J4</f>
        <v>145.17999999999998</v>
      </c>
      <c r="F24" s="51">
        <f>C24*Расчеты!I4</f>
        <v>2403.2488757396482</v>
      </c>
      <c r="G24" s="51">
        <f>C24*Расчеты!J4</f>
        <v>204.2761544378701</v>
      </c>
    </row>
    <row r="25" spans="1:9" s="37" customFormat="1">
      <c r="A25" s="58" t="s">
        <v>13</v>
      </c>
      <c r="B25" s="48">
        <f t="shared" si="3"/>
        <v>20</v>
      </c>
      <c r="C25" s="51">
        <f t="shared" si="4"/>
        <v>1.893948798454556</v>
      </c>
      <c r="D25" s="51">
        <f>B25*Расчеты!I5</f>
        <v>588</v>
      </c>
      <c r="E25" s="51">
        <f>B25*Расчеты!J5</f>
        <v>31.36</v>
      </c>
      <c r="F25" s="51">
        <f>C25*Расчеты!I5</f>
        <v>55.682094674563942</v>
      </c>
      <c r="G25" s="51">
        <f>C25*Расчеты!J5</f>
        <v>2.9697117159767439</v>
      </c>
    </row>
    <row r="26" spans="1:9" s="37" customFormat="1">
      <c r="A26" s="58" t="s">
        <v>14</v>
      </c>
      <c r="B26" s="48">
        <f t="shared" si="3"/>
        <v>8</v>
      </c>
      <c r="C26" s="51">
        <f t="shared" si="4"/>
        <v>4.8335151627223816</v>
      </c>
      <c r="D26" s="51">
        <f>B26*Расчеты!I6</f>
        <v>215.04</v>
      </c>
      <c r="E26" s="51">
        <f>B26*Расчеты!J6</f>
        <v>16.128</v>
      </c>
      <c r="F26" s="51">
        <f>C26*Расчеты!I6</f>
        <v>129.9248875739776</v>
      </c>
      <c r="G26" s="51">
        <f>C26*Расчеты!J6</f>
        <v>9.7443665680483207</v>
      </c>
    </row>
    <row r="27" spans="1:9" s="37" customFormat="1" ht="30">
      <c r="A27" s="59" t="s">
        <v>15</v>
      </c>
      <c r="B27" s="48">
        <f t="shared" si="3"/>
        <v>30</v>
      </c>
      <c r="C27" s="51">
        <f t="shared" si="4"/>
        <v>0</v>
      </c>
      <c r="D27" s="51">
        <f>B27*Расчеты!I7</f>
        <v>540</v>
      </c>
      <c r="E27" s="51">
        <f>B27*Расчеты!J7</f>
        <v>65.999999999999986</v>
      </c>
      <c r="F27" s="51">
        <f>C27*Расчеты!I7</f>
        <v>0</v>
      </c>
      <c r="G27" s="51">
        <f>C27*Расчеты!J7</f>
        <v>0</v>
      </c>
    </row>
    <row r="28" spans="1:9" s="37" customFormat="1" ht="30">
      <c r="A28" s="59" t="s">
        <v>17</v>
      </c>
      <c r="B28" s="48">
        <f t="shared" si="3"/>
        <v>50</v>
      </c>
      <c r="C28" s="51">
        <f t="shared" si="4"/>
        <v>0</v>
      </c>
      <c r="D28" s="51">
        <f>B28*Расчеты!I8</f>
        <v>1040</v>
      </c>
      <c r="E28" s="51">
        <f>B28*Расчеты!J8</f>
        <v>175.5</v>
      </c>
      <c r="F28" s="51">
        <f>C28*Расчеты!I8</f>
        <v>0</v>
      </c>
      <c r="G28" s="51">
        <f>C28*Расчеты!J8</f>
        <v>0</v>
      </c>
    </row>
    <row r="29" spans="1:9" s="37" customFormat="1">
      <c r="A29" s="58" t="s">
        <v>30</v>
      </c>
      <c r="B29" s="48">
        <f t="shared" si="3"/>
        <v>60</v>
      </c>
      <c r="C29" s="51">
        <f t="shared" si="4"/>
        <v>0</v>
      </c>
      <c r="D29" s="51">
        <f>B29*Расчеты!I9</f>
        <v>1102.5</v>
      </c>
      <c r="E29" s="51">
        <f>B29*Расчеты!J9</f>
        <v>168.00000000000003</v>
      </c>
      <c r="F29" s="51">
        <f>C29*Расчеты!I9</f>
        <v>0</v>
      </c>
      <c r="G29" s="51">
        <f>C29*Расчеты!J9</f>
        <v>0</v>
      </c>
    </row>
    <row r="30" spans="1:9" s="37" customFormat="1">
      <c r="A30" s="58" t="s">
        <v>29</v>
      </c>
      <c r="B30" s="48">
        <f t="shared" si="3"/>
        <v>70</v>
      </c>
      <c r="C30" s="51">
        <f t="shared" si="4"/>
        <v>0</v>
      </c>
      <c r="D30" s="51">
        <f>B30*Расчеты!I10</f>
        <v>1097.25</v>
      </c>
      <c r="E30" s="51">
        <f>B30*Расчеты!J10</f>
        <v>113.05000000000001</v>
      </c>
      <c r="F30" s="51">
        <f>C30*Расчеты!I10</f>
        <v>0</v>
      </c>
      <c r="G30" s="51">
        <f>C30*Расчеты!J10</f>
        <v>0</v>
      </c>
    </row>
    <row r="31" spans="1:9" s="37" customFormat="1" ht="30">
      <c r="A31" s="59" t="s">
        <v>18</v>
      </c>
      <c r="B31" s="48">
        <f t="shared" si="3"/>
        <v>160</v>
      </c>
      <c r="C31" s="51">
        <f t="shared" si="4"/>
        <v>118.2375071235607</v>
      </c>
      <c r="D31" s="51">
        <f>B31*Расчеты!I11</f>
        <v>5104</v>
      </c>
      <c r="E31" s="51">
        <f>B31*Расчеты!J11</f>
        <v>440.79999999999995</v>
      </c>
      <c r="F31" s="51">
        <f>C31*Расчеты!I11</f>
        <v>3771.7764772415862</v>
      </c>
      <c r="G31" s="51">
        <f>C31*Расчеты!J11</f>
        <v>325.7443321254097</v>
      </c>
    </row>
    <row r="32" spans="1:9" s="37" customFormat="1">
      <c r="A32" s="58" t="s">
        <v>70</v>
      </c>
      <c r="B32" s="48">
        <f t="shared" si="3"/>
        <v>120</v>
      </c>
      <c r="C32" s="51">
        <f t="shared" si="4"/>
        <v>160.15526251526447</v>
      </c>
      <c r="D32" s="51">
        <f>B32*Расчеты!I12</f>
        <v>1890</v>
      </c>
      <c r="E32" s="51">
        <f>B32*Расчеты!J12</f>
        <v>196.56</v>
      </c>
      <c r="F32" s="51">
        <f>C32*Расчеты!I12</f>
        <v>2522.4453846154152</v>
      </c>
      <c r="G32" s="51">
        <f>C32*Расчеты!J12</f>
        <v>262.33432000000317</v>
      </c>
    </row>
    <row r="33" spans="1:7" s="37" customFormat="1">
      <c r="A33" s="58" t="s">
        <v>30</v>
      </c>
      <c r="B33" s="48">
        <f t="shared" si="3"/>
        <v>150</v>
      </c>
      <c r="C33" s="51">
        <f t="shared" si="4"/>
        <v>176.12312815390288</v>
      </c>
      <c r="D33" s="51">
        <f>B33*Расчеты!I13</f>
        <v>3465</v>
      </c>
      <c r="E33" s="51">
        <f>B33*Расчеты!J13</f>
        <v>472.5</v>
      </c>
      <c r="F33" s="51">
        <f>C33*Расчеты!I13</f>
        <v>4068.444260355157</v>
      </c>
      <c r="G33" s="51">
        <f>C33*Расчеты!J13</f>
        <v>554.78785368479407</v>
      </c>
    </row>
    <row r="34" spans="1:7" s="37" customFormat="1">
      <c r="A34" s="58" t="s">
        <v>29</v>
      </c>
      <c r="B34" s="48">
        <f t="shared" si="3"/>
        <v>90</v>
      </c>
      <c r="C34" s="51">
        <f t="shared" si="4"/>
        <v>89.809476221786667</v>
      </c>
      <c r="D34" s="51">
        <f>B34*Расчеты!I14</f>
        <v>2126.25</v>
      </c>
      <c r="E34" s="51">
        <f>B34*Расчеты!J14</f>
        <v>206.55000000000004</v>
      </c>
      <c r="F34" s="51">
        <f>C34*Расчеты!I14</f>
        <v>2121.74887573971</v>
      </c>
      <c r="G34" s="51">
        <f>C34*Расчеты!J14</f>
        <v>206.11274792900045</v>
      </c>
    </row>
    <row r="35" spans="1:7" s="37" customFormat="1" ht="30">
      <c r="A35" s="59" t="s">
        <v>4</v>
      </c>
      <c r="B35" s="48">
        <f t="shared" si="3"/>
        <v>90</v>
      </c>
      <c r="C35" s="51">
        <f t="shared" si="4"/>
        <v>0</v>
      </c>
      <c r="D35" s="51">
        <f>B35*Расчеты!I15</f>
        <v>340.2</v>
      </c>
      <c r="E35" s="51">
        <f>B35*Расчеты!J15</f>
        <v>32.4</v>
      </c>
      <c r="F35" s="51">
        <f>C35*Расчеты!I15</f>
        <v>0</v>
      </c>
      <c r="G35" s="51">
        <f>C35*Расчеты!J15</f>
        <v>0</v>
      </c>
    </row>
    <row r="36" spans="1:7" s="37" customFormat="1" ht="30">
      <c r="A36" s="59" t="s">
        <v>5</v>
      </c>
      <c r="B36" s="48">
        <f t="shared" si="3"/>
        <v>120</v>
      </c>
      <c r="C36" s="51">
        <f t="shared" si="4"/>
        <v>119.99999999999801</v>
      </c>
      <c r="D36" s="51">
        <f>B36*Расчеты!I16</f>
        <v>979.2</v>
      </c>
      <c r="E36" s="51">
        <f>B36*Расчеты!J16</f>
        <v>80.64</v>
      </c>
      <c r="F36" s="51">
        <f>C36*Расчеты!I16</f>
        <v>979.19999999998379</v>
      </c>
      <c r="G36" s="51">
        <f>C36*Расчеты!J16</f>
        <v>80.639999999998665</v>
      </c>
    </row>
    <row r="37" spans="1:7" s="37" customFormat="1" ht="14.25" customHeight="1">
      <c r="A37" s="59" t="s">
        <v>6</v>
      </c>
      <c r="B37" s="48">
        <f t="shared" si="3"/>
        <v>60</v>
      </c>
      <c r="C37" s="51">
        <f t="shared" si="4"/>
        <v>12.089440785064804</v>
      </c>
      <c r="D37" s="51">
        <f>B37*Расчеты!I17</f>
        <v>1260</v>
      </c>
      <c r="E37" s="51">
        <f>B37*Расчеты!J17</f>
        <v>138.6</v>
      </c>
      <c r="F37" s="51">
        <f>C37*Расчеты!I17</f>
        <v>253.8782564863609</v>
      </c>
      <c r="G37" s="51">
        <f>C37*Расчеты!J17</f>
        <v>27.926608213499698</v>
      </c>
    </row>
    <row r="38" spans="1:7" s="37" customFormat="1">
      <c r="A38" s="58" t="s">
        <v>40</v>
      </c>
      <c r="B38" s="48">
        <f>'Исходный вариант 1'!B42</f>
        <v>250</v>
      </c>
      <c r="C38" s="51">
        <f>Матрица!R6</f>
        <v>250.00000000000043</v>
      </c>
      <c r="D38" s="51">
        <f>B38*'Исходный вариант 1'!B66</f>
        <v>230</v>
      </c>
      <c r="E38" s="51">
        <f>B38*'Исходный вариант 1'!C66</f>
        <v>35</v>
      </c>
      <c r="F38" s="51">
        <f>C38*'Исходный вариант 1'!B66</f>
        <v>230.0000000000004</v>
      </c>
      <c r="G38" s="51">
        <f>C38*'Исходный вариант 1'!C66</f>
        <v>35.000000000000064</v>
      </c>
    </row>
    <row r="39" spans="1:7" s="37" customFormat="1">
      <c r="A39" s="58" t="s">
        <v>39</v>
      </c>
      <c r="B39" s="48">
        <f>'Исходный вариант 1'!B43</f>
        <v>800</v>
      </c>
      <c r="C39" s="51">
        <f>Матрица!S6</f>
        <v>800</v>
      </c>
      <c r="D39" s="51">
        <f>B39*'Исходный вариант 1'!B67</f>
        <v>640</v>
      </c>
      <c r="E39" s="51">
        <f>B39*'Исходный вариант 1'!C67</f>
        <v>60</v>
      </c>
      <c r="F39" s="51">
        <f>C39*'Исходный вариант 1'!B67</f>
        <v>640</v>
      </c>
      <c r="G39" s="51">
        <f>C39*'Исходный вариант 1'!C67</f>
        <v>60</v>
      </c>
    </row>
    <row r="40" spans="1:7" s="37" customFormat="1">
      <c r="A40" s="59" t="s">
        <v>8</v>
      </c>
      <c r="B40" s="48">
        <f>'Исходный вариант 1'!B44</f>
        <v>85</v>
      </c>
      <c r="C40" s="51">
        <f>Матрица!T6</f>
        <v>0</v>
      </c>
      <c r="D40" s="51">
        <f>B40*'Исходный вариант 1'!B68</f>
        <v>10.199999999999999</v>
      </c>
      <c r="E40" s="51">
        <f>B40*'Исходный вариант 1'!C68</f>
        <v>1.19</v>
      </c>
      <c r="F40" s="51">
        <f>C40*'Исходный вариант 1'!B68</f>
        <v>0</v>
      </c>
      <c r="G40" s="51">
        <f>C40*'Исходный вариант 1'!C68</f>
        <v>0</v>
      </c>
    </row>
    <row r="41" spans="1:7" s="37" customFormat="1">
      <c r="A41" s="59" t="s">
        <v>240</v>
      </c>
      <c r="B41" s="48">
        <f>'Исходный вариант 1'!B45</f>
        <v>500</v>
      </c>
      <c r="C41" s="51">
        <f>Матрица!U6</f>
        <v>0</v>
      </c>
      <c r="D41" s="51">
        <f>B41*'Исходный вариант 1'!B69</f>
        <v>180</v>
      </c>
      <c r="E41" s="51">
        <f>B41*'Исходный вариант 1'!C69</f>
        <v>6</v>
      </c>
      <c r="F41" s="51">
        <f>C41*'Исходный вариант 1'!B69</f>
        <v>0</v>
      </c>
      <c r="G41" s="51">
        <f>C41*'Исходный вариант 1'!C69</f>
        <v>0</v>
      </c>
    </row>
    <row r="42" spans="1:7" s="37" customFormat="1">
      <c r="A42" s="58" t="s">
        <v>20</v>
      </c>
      <c r="B42" s="48">
        <f>'Исходный вариант 1'!B46</f>
        <v>700</v>
      </c>
      <c r="C42" s="51">
        <f>Матрица!V6</f>
        <v>700</v>
      </c>
      <c r="D42" s="51">
        <f>B42*'Исходный вариант 1'!B70</f>
        <v>238.00000000000003</v>
      </c>
      <c r="E42" s="51">
        <f>B42*'Исходный вариант 1'!C70</f>
        <v>22.400000000000002</v>
      </c>
      <c r="F42" s="51">
        <f>C42*'Исходный вариант 1'!B70</f>
        <v>238.00000000000003</v>
      </c>
      <c r="G42" s="51">
        <f>C42*'Исходный вариант 1'!C70</f>
        <v>22.400000000000002</v>
      </c>
    </row>
    <row r="43" spans="1:7" s="37" customFormat="1">
      <c r="A43" s="58" t="s">
        <v>50</v>
      </c>
      <c r="B43" s="48">
        <f>'Исходный вариант 1'!B47</f>
        <v>700</v>
      </c>
      <c r="C43" s="48">
        <f>Матрица!W6</f>
        <v>700</v>
      </c>
      <c r="D43" s="51">
        <f>B43*'Исходный вариант 1'!B71</f>
        <v>91</v>
      </c>
      <c r="E43" s="51">
        <f>B43*'Исходный вариант 1'!C71</f>
        <v>21.7</v>
      </c>
      <c r="F43" s="51">
        <f>C43*'Исходный вариант 1'!B71</f>
        <v>91</v>
      </c>
      <c r="G43" s="51">
        <f>C43*'Исходный вариант 1'!C71</f>
        <v>21.7</v>
      </c>
    </row>
    <row r="44" spans="1:7" s="37" customFormat="1">
      <c r="A44" s="58" t="s">
        <v>127</v>
      </c>
      <c r="B44" s="48"/>
      <c r="C44" s="48"/>
      <c r="D44" s="51">
        <f>SUM(D23:D43)</f>
        <v>23861.040000000005</v>
      </c>
      <c r="E44" s="51">
        <f>SUM(E23:E43)</f>
        <v>2497.598</v>
      </c>
      <c r="F44" s="51">
        <f>SUM(F23:F43)</f>
        <v>17505.349112426404</v>
      </c>
      <c r="G44" s="51">
        <f>SUM(G23:G43)</f>
        <v>1813.6360946746013</v>
      </c>
    </row>
    <row r="45" spans="1:7" s="37" customFormat="1">
      <c r="A45" s="103" t="s">
        <v>235</v>
      </c>
      <c r="B45" s="47"/>
      <c r="C45" s="47"/>
      <c r="D45" s="47"/>
      <c r="E45" s="47"/>
      <c r="F45" s="47"/>
      <c r="G45" s="47"/>
    </row>
    <row r="46" spans="1:7" s="37" customFormat="1">
      <c r="A46" s="151" t="s">
        <v>134</v>
      </c>
      <c r="B46" s="182" t="s">
        <v>128</v>
      </c>
      <c r="C46" s="182"/>
      <c r="D46" s="182" t="s">
        <v>129</v>
      </c>
      <c r="E46" s="182"/>
      <c r="F46" s="47"/>
      <c r="G46" s="47"/>
    </row>
    <row r="47" spans="1:7" s="37" customFormat="1" ht="42" customHeight="1">
      <c r="A47" s="151"/>
      <c r="B47" s="57" t="s">
        <v>135</v>
      </c>
      <c r="C47" s="48" t="s">
        <v>131</v>
      </c>
      <c r="D47" s="57" t="s">
        <v>135</v>
      </c>
      <c r="E47" s="48" t="s">
        <v>131</v>
      </c>
      <c r="F47" s="47"/>
      <c r="G47" s="47"/>
    </row>
    <row r="48" spans="1:7" s="37" customFormat="1" ht="30">
      <c r="A48" s="59" t="s">
        <v>136</v>
      </c>
      <c r="B48" s="51">
        <f>SUM(D23:D34)</f>
        <v>19892.440000000002</v>
      </c>
      <c r="C48" s="50">
        <f>B48/$B$53*100</f>
        <v>83.367866614363834</v>
      </c>
      <c r="D48" s="51">
        <f>SUM(F23:F34)</f>
        <v>15073.270855940058</v>
      </c>
      <c r="E48" s="50">
        <f>D48/$D$53*100</f>
        <v>86.106656651823627</v>
      </c>
      <c r="F48" s="47"/>
      <c r="G48" s="47"/>
    </row>
    <row r="49" spans="1:7" s="37" customFormat="1" ht="30">
      <c r="A49" s="59" t="s">
        <v>137</v>
      </c>
      <c r="B49" s="51">
        <f>SUM(D35:D37)</f>
        <v>2579.4</v>
      </c>
      <c r="C49" s="50">
        <f t="shared" ref="C49:C52" si="5">B49/$B$53*100</f>
        <v>10.810090423552367</v>
      </c>
      <c r="D49" s="51">
        <f>SUM(F35:F37)</f>
        <v>1233.0782564863448</v>
      </c>
      <c r="E49" s="50">
        <f t="shared" ref="E49:E52" si="6">D49/$D$53*100</f>
        <v>7.0440083689106663</v>
      </c>
      <c r="F49" s="47"/>
      <c r="G49" s="47"/>
    </row>
    <row r="50" spans="1:7" s="37" customFormat="1" ht="30">
      <c r="A50" s="59" t="s">
        <v>138</v>
      </c>
      <c r="B50" s="51">
        <f>SUM(D39:D41)</f>
        <v>830.2</v>
      </c>
      <c r="C50" s="50">
        <f t="shared" si="5"/>
        <v>3.4793118824661455</v>
      </c>
      <c r="D50" s="51">
        <f>SUM(F39:F41)</f>
        <v>640</v>
      </c>
      <c r="E50" s="50">
        <f t="shared" si="6"/>
        <v>3.6560253433945373</v>
      </c>
      <c r="F50" s="47"/>
      <c r="G50" s="47"/>
    </row>
    <row r="51" spans="1:7" s="37" customFormat="1">
      <c r="A51" s="59" t="s">
        <v>139</v>
      </c>
      <c r="B51" s="51">
        <f>D38</f>
        <v>230</v>
      </c>
      <c r="C51" s="50">
        <f t="shared" si="5"/>
        <v>0.96391439769599285</v>
      </c>
      <c r="D51" s="51">
        <f>F38</f>
        <v>230.0000000000004</v>
      </c>
      <c r="E51" s="50">
        <f t="shared" si="6"/>
        <v>1.3138841077824142</v>
      </c>
      <c r="F51" s="47"/>
      <c r="G51" s="47"/>
    </row>
    <row r="52" spans="1:7" s="37" customFormat="1" ht="30">
      <c r="A52" s="59" t="s">
        <v>140</v>
      </c>
      <c r="B52" s="51">
        <f>SUM(D42:D43)</f>
        <v>329</v>
      </c>
      <c r="C52" s="50">
        <f t="shared" si="5"/>
        <v>1.3788166819216594</v>
      </c>
      <c r="D52" s="51">
        <f>SUM(F42:F43)</f>
        <v>329</v>
      </c>
      <c r="E52" s="50">
        <f t="shared" si="6"/>
        <v>1.8794255280887542</v>
      </c>
      <c r="F52" s="47"/>
      <c r="G52" s="47"/>
    </row>
    <row r="53" spans="1:7" s="37" customFormat="1">
      <c r="A53" s="58" t="s">
        <v>127</v>
      </c>
      <c r="B53" s="51">
        <f>SUM(B48:B52)</f>
        <v>23861.040000000005</v>
      </c>
      <c r="C53" s="50">
        <f>SUM(C48:C52)</f>
        <v>100</v>
      </c>
      <c r="D53" s="51">
        <f>SUM(D48:D52)</f>
        <v>17505.349112426404</v>
      </c>
      <c r="E53" s="50">
        <f>SUM(E48:E52)</f>
        <v>100</v>
      </c>
      <c r="F53" s="47"/>
      <c r="G53" s="47"/>
    </row>
    <row r="54" spans="1:7" s="37" customFormat="1">
      <c r="A54" s="103" t="s">
        <v>236</v>
      </c>
      <c r="B54" s="47"/>
      <c r="C54" s="47"/>
      <c r="D54" s="47"/>
      <c r="E54" s="47"/>
      <c r="F54" s="47"/>
      <c r="G54" s="47"/>
    </row>
    <row r="55" spans="1:7" s="37" customFormat="1">
      <c r="A55" s="151" t="s">
        <v>134</v>
      </c>
      <c r="B55" s="182" t="s">
        <v>128</v>
      </c>
      <c r="C55" s="182"/>
      <c r="D55" s="182" t="s">
        <v>129</v>
      </c>
      <c r="E55" s="182"/>
      <c r="F55" s="47"/>
      <c r="G55" s="47"/>
    </row>
    <row r="56" spans="1:7" s="37" customFormat="1" ht="41.45" customHeight="1">
      <c r="A56" s="151"/>
      <c r="B56" s="57" t="s">
        <v>135</v>
      </c>
      <c r="C56" s="48" t="s">
        <v>131</v>
      </c>
      <c r="D56" s="57" t="s">
        <v>135</v>
      </c>
      <c r="E56" s="48" t="s">
        <v>131</v>
      </c>
      <c r="F56" s="47"/>
      <c r="G56" s="47"/>
    </row>
    <row r="57" spans="1:7" s="37" customFormat="1">
      <c r="A57" s="58" t="s">
        <v>25</v>
      </c>
      <c r="B57" s="51">
        <f>D23+D24+D38+D39</f>
        <v>3594.4</v>
      </c>
      <c r="C57" s="50">
        <f>B57/$B$64*100</f>
        <v>15.063886569906423</v>
      </c>
      <c r="D57" s="51">
        <f>F23+F38+F39+F24</f>
        <v>3273.2488757396486</v>
      </c>
      <c r="E57" s="50">
        <f>D57/$D$64*100</f>
        <v>18.698563820221612</v>
      </c>
      <c r="F57" s="47"/>
      <c r="G57" s="47"/>
    </row>
    <row r="58" spans="1:7" s="37" customFormat="1">
      <c r="A58" s="58" t="s">
        <v>28</v>
      </c>
      <c r="B58" s="51">
        <f>D32+D35+D41</f>
        <v>2410.1999999999998</v>
      </c>
      <c r="C58" s="50">
        <f t="shared" ref="C58:C63" si="7">B58/$B$64*100</f>
        <v>10.100984701421229</v>
      </c>
      <c r="D58" s="51">
        <f>F32+F35+F41</f>
        <v>2522.4453846154152</v>
      </c>
      <c r="E58" s="50">
        <f t="shared" ref="E58:E63" si="8">D58/$D$64*100</f>
        <v>14.409569146066467</v>
      </c>
      <c r="F58" s="47"/>
      <c r="G58" s="47"/>
    </row>
    <row r="59" spans="1:7" s="37" customFormat="1">
      <c r="A59" s="58" t="s">
        <v>29</v>
      </c>
      <c r="B59" s="51">
        <f>D30+D34</f>
        <v>3223.5</v>
      </c>
      <c r="C59" s="50">
        <f t="shared" si="7"/>
        <v>13.509469830317538</v>
      </c>
      <c r="D59" s="51">
        <f>F30+F34</f>
        <v>2121.74887573971</v>
      </c>
      <c r="E59" s="50">
        <f t="shared" si="8"/>
        <v>12.120574471911324</v>
      </c>
      <c r="F59" s="47"/>
      <c r="G59" s="47"/>
    </row>
    <row r="60" spans="1:7" s="37" customFormat="1">
      <c r="A60" s="58" t="s">
        <v>30</v>
      </c>
      <c r="B60" s="51">
        <f>D29+D33</f>
        <v>4567.5</v>
      </c>
      <c r="C60" s="50">
        <f t="shared" si="7"/>
        <v>19.142082658593253</v>
      </c>
      <c r="D60" s="51">
        <f>F29+F33</f>
        <v>4068.444260355157</v>
      </c>
      <c r="E60" s="50">
        <f t="shared" si="8"/>
        <v>23.241148943822651</v>
      </c>
      <c r="F60" s="47"/>
      <c r="G60" s="47"/>
    </row>
    <row r="61" spans="1:7" s="37" customFormat="1">
      <c r="A61" s="58" t="s">
        <v>184</v>
      </c>
      <c r="B61" s="51">
        <f>D25+D26</f>
        <v>803.04</v>
      </c>
      <c r="C61" s="50">
        <f t="shared" si="7"/>
        <v>3.3654861648947403</v>
      </c>
      <c r="D61" s="51">
        <f>F25+F26</f>
        <v>185.60698224854156</v>
      </c>
      <c r="E61" s="50">
        <f t="shared" si="8"/>
        <v>1.0602872359556998</v>
      </c>
      <c r="F61" s="47"/>
      <c r="G61" s="47"/>
    </row>
    <row r="62" spans="1:7" s="37" customFormat="1">
      <c r="A62" s="58" t="s">
        <v>31</v>
      </c>
      <c r="B62" s="51">
        <f>D27+D28+D31+D36+D37+D40</f>
        <v>8933.4000000000015</v>
      </c>
      <c r="C62" s="50">
        <f t="shared" si="7"/>
        <v>37.439273392945154</v>
      </c>
      <c r="D62" s="51">
        <f>F27+F28+F31+F36+F37+F40</f>
        <v>5004.8547337279306</v>
      </c>
      <c r="E62" s="50">
        <f t="shared" si="8"/>
        <v>28.590430853933491</v>
      </c>
      <c r="F62" s="47"/>
      <c r="G62" s="47"/>
    </row>
    <row r="63" spans="1:7" s="37" customFormat="1" ht="30">
      <c r="A63" s="59" t="s">
        <v>33</v>
      </c>
      <c r="B63" s="51">
        <f>D42+D43</f>
        <v>329</v>
      </c>
      <c r="C63" s="50">
        <f t="shared" si="7"/>
        <v>1.3788166819216596</v>
      </c>
      <c r="D63" s="51">
        <f>F42+F43</f>
        <v>329</v>
      </c>
      <c r="E63" s="50">
        <f t="shared" si="8"/>
        <v>1.8794255280887542</v>
      </c>
      <c r="F63" s="47"/>
      <c r="G63" s="47"/>
    </row>
    <row r="64" spans="1:7" s="37" customFormat="1">
      <c r="A64" s="58" t="s">
        <v>127</v>
      </c>
      <c r="B64" s="51">
        <f>SUM(B57:B63)</f>
        <v>23861.040000000001</v>
      </c>
      <c r="C64" s="50">
        <f>SUM(C57:C63)</f>
        <v>100</v>
      </c>
      <c r="D64" s="51">
        <f>SUM(D57:D63)</f>
        <v>17505.349112426404</v>
      </c>
      <c r="E64" s="50">
        <f>SUM(E57:E63)</f>
        <v>100.00000000000001</v>
      </c>
      <c r="F64" s="47"/>
      <c r="G64" s="47"/>
    </row>
    <row r="65" spans="1:7" s="37" customFormat="1">
      <c r="A65" s="103" t="s">
        <v>256</v>
      </c>
      <c r="B65" s="47"/>
      <c r="C65" s="47"/>
      <c r="D65" s="47"/>
      <c r="E65" s="47"/>
      <c r="F65" s="47"/>
      <c r="G65" s="47"/>
    </row>
    <row r="66" spans="1:7" s="37" customFormat="1" ht="30">
      <c r="A66" s="48" t="s">
        <v>0</v>
      </c>
      <c r="B66" s="96" t="s">
        <v>128</v>
      </c>
      <c r="C66" s="96" t="s">
        <v>129</v>
      </c>
      <c r="D66" s="97" t="s">
        <v>239</v>
      </c>
      <c r="E66" s="47"/>
      <c r="F66" s="47"/>
      <c r="G66" s="47"/>
    </row>
    <row r="67" spans="1:7" s="37" customFormat="1" ht="27.75" customHeight="1">
      <c r="A67" s="60" t="s">
        <v>242</v>
      </c>
      <c r="B67" s="55">
        <f>B64</f>
        <v>23861.040000000001</v>
      </c>
      <c r="C67" s="51">
        <f>D64</f>
        <v>17505.349112426404</v>
      </c>
      <c r="D67" s="50">
        <f>C67/B67*100</f>
        <v>73.363730635489503</v>
      </c>
      <c r="E67" s="47"/>
      <c r="F67" s="47"/>
      <c r="G67" s="47"/>
    </row>
    <row r="68" spans="1:7" s="37" customFormat="1">
      <c r="A68" s="61" t="s">
        <v>141</v>
      </c>
      <c r="B68" s="62">
        <f>E44</f>
        <v>2497.598</v>
      </c>
      <c r="C68" s="55">
        <f>G44</f>
        <v>1813.6360946746013</v>
      </c>
      <c r="D68" s="50">
        <f t="shared" ref="D68:D74" si="9">C68/B68*100</f>
        <v>72.615212483137853</v>
      </c>
      <c r="E68" s="47"/>
      <c r="F68" s="47"/>
      <c r="G68" s="47"/>
    </row>
    <row r="69" spans="1:7" s="37" customFormat="1" ht="32.25" customHeight="1">
      <c r="A69" s="60" t="s">
        <v>142</v>
      </c>
      <c r="B69" s="48">
        <f>B19</f>
        <v>1238</v>
      </c>
      <c r="C69" s="51">
        <f>D19</f>
        <v>880.1298915262995</v>
      </c>
      <c r="D69" s="50">
        <f t="shared" si="9"/>
        <v>71.09288299889333</v>
      </c>
      <c r="E69" s="47"/>
      <c r="F69" s="47"/>
      <c r="G69" s="47"/>
    </row>
    <row r="70" spans="1:7" s="37" customFormat="1" ht="30" customHeight="1">
      <c r="A70" s="60" t="s">
        <v>245</v>
      </c>
      <c r="B70" s="62">
        <f>B67/B69</f>
        <v>19.273861066235867</v>
      </c>
      <c r="C70" s="62">
        <f>C67/C69</f>
        <v>19.889506402366429</v>
      </c>
      <c r="D70" s="50">
        <f t="shared" si="9"/>
        <v>103.19419826683848</v>
      </c>
      <c r="E70" s="47"/>
      <c r="F70" s="47"/>
      <c r="G70" s="47"/>
    </row>
    <row r="71" spans="1:7" s="37" customFormat="1" ht="30.75" customHeight="1">
      <c r="A71" s="60" t="s">
        <v>241</v>
      </c>
      <c r="B71" s="62">
        <f>B68/B69</f>
        <v>2.0174458804523425</v>
      </c>
      <c r="C71" s="62">
        <f>C68/C69</f>
        <v>2.0606459479855164</v>
      </c>
      <c r="D71" s="50">
        <f t="shared" si="9"/>
        <v>102.14132472904242</v>
      </c>
      <c r="E71" s="47"/>
      <c r="F71" s="47"/>
      <c r="G71" s="47"/>
    </row>
    <row r="72" spans="1:7" s="37" customFormat="1" ht="45">
      <c r="A72" s="60" t="s">
        <v>243</v>
      </c>
      <c r="B72" s="51">
        <f>Матрица!AB11</f>
        <v>18680</v>
      </c>
      <c r="C72" s="51">
        <f>Матрица!Z11</f>
        <v>9657.0906316142427</v>
      </c>
      <c r="D72" s="50">
        <f t="shared" si="9"/>
        <v>51.697487321275389</v>
      </c>
      <c r="E72" s="47"/>
      <c r="F72" s="47"/>
      <c r="G72" s="47"/>
    </row>
    <row r="73" spans="1:7" s="37" customFormat="1" ht="45">
      <c r="A73" s="60" t="s">
        <v>246</v>
      </c>
      <c r="B73" s="51">
        <f>Расчеты!E42</f>
        <v>18970177.5</v>
      </c>
      <c r="C73" s="51">
        <f>Матрица!Z41</f>
        <v>12217716.992939904</v>
      </c>
      <c r="D73" s="50">
        <f t="shared" si="9"/>
        <v>64.404863860340285</v>
      </c>
      <c r="E73" s="47"/>
      <c r="F73" s="47"/>
      <c r="G73" s="47"/>
    </row>
    <row r="74" spans="1:7" s="37" customFormat="1" ht="30.75" customHeight="1">
      <c r="A74" s="60" t="s">
        <v>244</v>
      </c>
      <c r="B74" s="62">
        <f>B73/B67</f>
        <v>795.02727039559045</v>
      </c>
      <c r="C74" s="62">
        <f>C73/C67</f>
        <v>697.94192132203727</v>
      </c>
      <c r="D74" s="50">
        <f t="shared" si="9"/>
        <v>87.788425291972018</v>
      </c>
      <c r="E74" s="47"/>
      <c r="F74" s="47"/>
      <c r="G74" s="47"/>
    </row>
  </sheetData>
  <mergeCells count="14">
    <mergeCell ref="A55:A56"/>
    <mergeCell ref="B55:C55"/>
    <mergeCell ref="D55:E55"/>
    <mergeCell ref="A46:A47"/>
    <mergeCell ref="B46:C46"/>
    <mergeCell ref="D46:E46"/>
    <mergeCell ref="A21:A22"/>
    <mergeCell ref="B21:C21"/>
    <mergeCell ref="D21:E21"/>
    <mergeCell ref="F21:G21"/>
    <mergeCell ref="A2:A3"/>
    <mergeCell ref="B2:C2"/>
    <mergeCell ref="D2:E2"/>
    <mergeCell ref="F2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Исходные данные</vt:lpstr>
      <vt:lpstr>Исходный вариант 1</vt:lpstr>
      <vt:lpstr>Расчеты</vt:lpstr>
      <vt:lpstr>Матрица</vt:lpstr>
      <vt:lpstr>Анализ данных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galla</cp:lastModifiedBy>
  <dcterms:created xsi:type="dcterms:W3CDTF">2020-05-27T11:19:16Z</dcterms:created>
  <dcterms:modified xsi:type="dcterms:W3CDTF">2021-04-29T12:11:13Z</dcterms:modified>
</cp:coreProperties>
</file>