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0" windowWidth="11340" windowHeight="5520" tabRatio="877" activeTab="3"/>
  </bookViews>
  <sheets>
    <sheet name="реал" sheetId="3" r:id="rId1"/>
    <sheet name="обор.КРС" sheetId="2" r:id="rId2"/>
    <sheet name="обор. ш-1" sheetId="25" r:id="rId3"/>
    <sheet name="обор.шув-2,3" sheetId="14" r:id="rId4"/>
    <sheet name="св-во Ш1 факт" sheetId="26" r:id="rId5"/>
    <sheet name="св-во Ш2,3 факт" sheetId="18" r:id="rId6"/>
    <sheet name="КРС факт" sheetId="17" r:id="rId7"/>
    <sheet name="пром.пр-ва факт" sheetId="20" r:id="rId8"/>
    <sheet name="вспом.пр-ва факт" sheetId="19" r:id="rId9"/>
    <sheet name="произв. факт" sheetId="21" r:id="rId10"/>
    <sheet name="сводная" sheetId="4" r:id="rId11"/>
    <sheet name="вспом. план" sheetId="11" r:id="rId12"/>
    <sheet name="КРС план" sheetId="16" r:id="rId13"/>
    <sheet name="св-во ш-1 план" sheetId="24" r:id="rId14"/>
    <sheet name="св-во шув-2 план" sheetId="15" r:id="rId15"/>
    <sheet name="пром.пр-во план" sheetId="6" r:id="rId16"/>
    <sheet name="произв. план" sheetId="5" r:id="rId17"/>
    <sheet name="БДДС" sheetId="8" r:id="rId18"/>
    <sheet name="БДР" sheetId="9" r:id="rId19"/>
  </sheets>
  <externalReferences>
    <externalReference r:id="rId20"/>
    <externalReference r:id="rId21"/>
    <externalReference r:id="rId22"/>
    <externalReference r:id="rId23"/>
  </externalReferences>
  <definedNames>
    <definedName name="_xlnm._FilterDatabase" localSheetId="5" hidden="1">'св-во Ш2,3 факт'!$A$27:$Q$29</definedName>
    <definedName name="_xlnm.Print_Titles" localSheetId="17">БДДС!$4:$4</definedName>
    <definedName name="_xlnm.Print_Titles" localSheetId="11">'вспом. план'!$A:$A,'вспом. план'!$2:$3</definedName>
    <definedName name="_xlnm.Print_Titles" localSheetId="8">'вспом.пр-ва факт'!$A:$A,'вспом.пр-ва факт'!$2:$3</definedName>
    <definedName name="_xlnm.Print_Titles" localSheetId="9">'произв. факт'!$2:$6</definedName>
  </definedNames>
  <calcPr calcId="124519"/>
</workbook>
</file>

<file path=xl/calcChain.xml><?xml version="1.0" encoding="utf-8"?>
<calcChain xmlns="http://schemas.openxmlformats.org/spreadsheetml/2006/main">
  <c r="B26" i="6"/>
  <c r="E48" i="9" l="1"/>
  <c r="D59"/>
  <c r="D44"/>
  <c r="D43"/>
  <c r="D47"/>
  <c r="D50"/>
  <c r="D62"/>
  <c r="D39" l="1"/>
  <c r="D37"/>
  <c r="D28" l="1"/>
  <c r="G64" i="3" l="1"/>
  <c r="G61"/>
  <c r="C62" i="9" l="1"/>
  <c r="C59"/>
  <c r="C58"/>
  <c r="C52"/>
  <c r="C49"/>
  <c r="C47"/>
  <c r="C46"/>
  <c r="C35" l="1"/>
  <c r="C42" l="1"/>
  <c r="C41"/>
  <c r="E47" i="3" l="1"/>
  <c r="G62" l="1"/>
  <c r="G126"/>
  <c r="G125" s="1"/>
  <c r="G124"/>
  <c r="G21"/>
  <c r="G17"/>
  <c r="G9"/>
  <c r="B25" i="6" l="1"/>
  <c r="B24"/>
  <c r="G63" i="3" l="1"/>
  <c r="G47"/>
  <c r="G37"/>
  <c r="K28" i="17" l="1"/>
  <c r="K25"/>
  <c r="K23"/>
  <c r="K22"/>
  <c r="H25" l="1"/>
  <c r="E110" i="2"/>
  <c r="H34" i="17"/>
  <c r="H30"/>
  <c r="H28"/>
  <c r="J23" i="16"/>
  <c r="J21"/>
  <c r="J20"/>
  <c r="J19"/>
  <c r="J18"/>
  <c r="J17"/>
  <c r="J16"/>
  <c r="J15"/>
  <c r="J10"/>
  <c r="J9"/>
  <c r="H27"/>
  <c r="H23"/>
  <c r="H21"/>
  <c r="H20"/>
  <c r="H19"/>
  <c r="H18"/>
  <c r="H17"/>
  <c r="H16"/>
  <c r="H15"/>
  <c r="H10"/>
  <c r="H9"/>
  <c r="H6"/>
  <c r="E114" i="2" l="1"/>
  <c r="D114"/>
  <c r="N46"/>
  <c r="AB31" l="1"/>
  <c r="AA31"/>
  <c r="AB28"/>
  <c r="AA28"/>
  <c r="AB25"/>
  <c r="AA25"/>
  <c r="AB22"/>
  <c r="AA22"/>
  <c r="AB19"/>
  <c r="AA19"/>
  <c r="AB16"/>
  <c r="AA16"/>
  <c r="AA13"/>
  <c r="AB13"/>
  <c r="AB10"/>
  <c r="AB7"/>
  <c r="L34"/>
  <c r="L31"/>
  <c r="L28"/>
  <c r="L25"/>
  <c r="L22"/>
  <c r="L19"/>
  <c r="L16"/>
  <c r="L13"/>
  <c r="T7"/>
  <c r="S7"/>
  <c r="T28"/>
  <c r="S28"/>
  <c r="T25"/>
  <c r="S25"/>
  <c r="P31"/>
  <c r="O31"/>
  <c r="P34"/>
  <c r="O34"/>
  <c r="K34"/>
  <c r="J34"/>
  <c r="P22"/>
  <c r="O22"/>
  <c r="P19"/>
  <c r="O19"/>
  <c r="P16"/>
  <c r="O16"/>
  <c r="P13"/>
  <c r="O13"/>
  <c r="N13"/>
  <c r="M13"/>
  <c r="T10"/>
  <c r="S10"/>
  <c r="R10"/>
  <c r="Q10"/>
  <c r="P10"/>
  <c r="O10"/>
  <c r="N10"/>
  <c r="M10"/>
  <c r="K10"/>
  <c r="J10"/>
  <c r="N7"/>
  <c r="M7"/>
  <c r="K7"/>
  <c r="J7"/>
  <c r="B7"/>
  <c r="C7"/>
  <c r="B10"/>
  <c r="C10"/>
  <c r="B13"/>
  <c r="C13"/>
  <c r="B9"/>
  <c r="C9"/>
  <c r="B12"/>
  <c r="C12"/>
  <c r="B15"/>
  <c r="C15"/>
  <c r="B16"/>
  <c r="C16"/>
  <c r="B18"/>
  <c r="C18"/>
  <c r="B19"/>
  <c r="C19"/>
  <c r="B21"/>
  <c r="C21"/>
  <c r="B22"/>
  <c r="C22"/>
  <c r="B24"/>
  <c r="C24"/>
  <c r="B25"/>
  <c r="C25"/>
  <c r="B27"/>
  <c r="C27"/>
  <c r="B28"/>
  <c r="C28"/>
  <c r="B30"/>
  <c r="C30"/>
  <c r="B31"/>
  <c r="C31"/>
  <c r="B33"/>
  <c r="C33"/>
  <c r="B34" i="20" l="1"/>
  <c r="B30"/>
  <c r="B28"/>
  <c r="E26" i="6"/>
  <c r="D26"/>
  <c r="C26"/>
  <c r="B25" i="20" l="1"/>
  <c r="B3"/>
  <c r="E34"/>
  <c r="E30"/>
  <c r="E28"/>
  <c r="E24"/>
  <c r="E25"/>
  <c r="F33" i="6"/>
  <c r="C33"/>
  <c r="F31"/>
  <c r="E31"/>
  <c r="D31"/>
  <c r="C31"/>
  <c r="B31"/>
  <c r="F29"/>
  <c r="E29"/>
  <c r="C29"/>
  <c r="E24"/>
  <c r="D32" i="20" l="1"/>
  <c r="D34"/>
  <c r="D30"/>
  <c r="D28"/>
  <c r="D25"/>
  <c r="C28"/>
  <c r="O39" i="18" l="1"/>
  <c r="O37"/>
  <c r="O35"/>
  <c r="O33"/>
  <c r="O30"/>
  <c r="C33"/>
  <c r="C30"/>
  <c r="E43"/>
  <c r="E33"/>
  <c r="E18"/>
  <c r="D33"/>
  <c r="D30"/>
  <c r="D18"/>
  <c r="H33"/>
  <c r="I33"/>
  <c r="F33"/>
  <c r="M26" i="15"/>
  <c r="I26"/>
  <c r="H26"/>
  <c r="F26"/>
  <c r="E26"/>
  <c r="D26"/>
  <c r="C26"/>
  <c r="AM28" i="11"/>
  <c r="AM40"/>
  <c r="AL40"/>
  <c r="AM39"/>
  <c r="AL39"/>
  <c r="AL38"/>
  <c r="AM37"/>
  <c r="AL37"/>
  <c r="AL36"/>
  <c r="AM35"/>
  <c r="AL35"/>
  <c r="AM34"/>
  <c r="AL34"/>
  <c r="AL33"/>
  <c r="AM32"/>
  <c r="AL32"/>
  <c r="AJ40"/>
  <c r="AJ39"/>
  <c r="AJ38"/>
  <c r="AJ32"/>
  <c r="AJ28"/>
  <c r="AI27"/>
  <c r="AL113"/>
  <c r="Z107"/>
  <c r="Z106"/>
  <c r="Z105"/>
  <c r="Z101"/>
  <c r="Z100"/>
  <c r="V107"/>
  <c r="V106"/>
  <c r="V105"/>
  <c r="V101"/>
  <c r="V100"/>
  <c r="AB86"/>
  <c r="AB84"/>
  <c r="AA84"/>
  <c r="Z84"/>
  <c r="V86"/>
  <c r="V84"/>
  <c r="AA31"/>
  <c r="T27"/>
  <c r="R108"/>
  <c r="R107"/>
  <c r="R106"/>
  <c r="R105"/>
  <c r="R84"/>
  <c r="N103"/>
  <c r="N84"/>
  <c r="L108"/>
  <c r="L107"/>
  <c r="L106"/>
  <c r="L105"/>
  <c r="L86"/>
  <c r="L84"/>
  <c r="R27"/>
  <c r="C24" i="26"/>
  <c r="C21"/>
  <c r="E25" i="6" l="1"/>
  <c r="E23" l="1"/>
  <c r="B19"/>
  <c r="B11"/>
  <c r="M22" i="15"/>
  <c r="M21"/>
  <c r="M20"/>
  <c r="M18"/>
  <c r="F29"/>
  <c r="E29"/>
  <c r="E27"/>
  <c r="F27"/>
  <c r="I29"/>
  <c r="I27"/>
  <c r="D29"/>
  <c r="D27"/>
  <c r="I22"/>
  <c r="I21"/>
  <c r="I20"/>
  <c r="H22"/>
  <c r="H21"/>
  <c r="H20"/>
  <c r="F22"/>
  <c r="F21"/>
  <c r="F20"/>
  <c r="E22"/>
  <c r="E21"/>
  <c r="E20"/>
  <c r="D22"/>
  <c r="D21"/>
  <c r="D20"/>
  <c r="C22"/>
  <c r="C21"/>
  <c r="C20"/>
  <c r="I18"/>
  <c r="H18"/>
  <c r="I16"/>
  <c r="H29"/>
  <c r="H27"/>
  <c r="F18"/>
  <c r="F16"/>
  <c r="E18"/>
  <c r="E16"/>
  <c r="D18"/>
  <c r="D16"/>
  <c r="C18"/>
  <c r="C16"/>
  <c r="M27"/>
  <c r="M25"/>
  <c r="M16"/>
  <c r="C29"/>
  <c r="C27"/>
  <c r="I25"/>
  <c r="H25"/>
  <c r="F25"/>
  <c r="E25"/>
  <c r="D25"/>
  <c r="C25"/>
  <c r="H16"/>
  <c r="M29"/>
  <c r="J26" i="24"/>
  <c r="I26"/>
  <c r="I22"/>
  <c r="J22"/>
  <c r="F26"/>
  <c r="E26"/>
  <c r="D26"/>
  <c r="H26"/>
  <c r="H22"/>
  <c r="F22"/>
  <c r="E22"/>
  <c r="D22"/>
  <c r="C22"/>
  <c r="I19"/>
  <c r="I18"/>
  <c r="I17"/>
  <c r="I16"/>
  <c r="J19"/>
  <c r="J18"/>
  <c r="J17"/>
  <c r="J16"/>
  <c r="H19"/>
  <c r="H18"/>
  <c r="H17"/>
  <c r="H16"/>
  <c r="F19"/>
  <c r="F18"/>
  <c r="E19"/>
  <c r="E18"/>
  <c r="D19"/>
  <c r="D18"/>
  <c r="F17"/>
  <c r="E17"/>
  <c r="D17"/>
  <c r="C19"/>
  <c r="C18"/>
  <c r="C17"/>
  <c r="F16"/>
  <c r="E16"/>
  <c r="D16"/>
  <c r="C16"/>
  <c r="C26"/>
  <c r="L104" i="11"/>
  <c r="L103"/>
  <c r="N108"/>
  <c r="N107"/>
  <c r="N106"/>
  <c r="N105"/>
  <c r="N104"/>
  <c r="Z91"/>
  <c r="R91"/>
  <c r="N91"/>
  <c r="Z86"/>
  <c r="Z85"/>
  <c r="Z83"/>
  <c r="R86"/>
  <c r="R85"/>
  <c r="R83"/>
  <c r="AF75"/>
  <c r="AF74"/>
  <c r="AF72"/>
  <c r="AF71"/>
  <c r="AF70"/>
  <c r="AF69"/>
  <c r="V66"/>
  <c r="V65"/>
  <c r="V64"/>
  <c r="V62"/>
  <c r="V61"/>
  <c r="V60"/>
  <c r="V59"/>
  <c r="R66"/>
  <c r="R65"/>
  <c r="R64"/>
  <c r="R62"/>
  <c r="R61"/>
  <c r="R60"/>
  <c r="R59"/>
  <c r="O75"/>
  <c r="O74"/>
  <c r="O72"/>
  <c r="O71"/>
  <c r="O70"/>
  <c r="O69"/>
  <c r="N86"/>
  <c r="N85"/>
  <c r="N83"/>
  <c r="N66"/>
  <c r="N65"/>
  <c r="N64"/>
  <c r="N62"/>
  <c r="N61"/>
  <c r="N60"/>
  <c r="N59"/>
  <c r="T55"/>
  <c r="S55"/>
  <c r="R55"/>
  <c r="R40"/>
  <c r="X31"/>
  <c r="W31"/>
  <c r="T31"/>
  <c r="S31"/>
  <c r="L31"/>
  <c r="K31"/>
  <c r="K28"/>
  <c r="L28"/>
  <c r="AJ37"/>
  <c r="AJ36"/>
  <c r="AJ35"/>
  <c r="AJ34"/>
  <c r="AJ33"/>
  <c r="AM31"/>
  <c r="AM29"/>
  <c r="AJ31"/>
  <c r="AI31"/>
  <c r="AF31"/>
  <c r="Z31"/>
  <c r="Z27"/>
  <c r="AJ29"/>
  <c r="AI29"/>
  <c r="AI28"/>
  <c r="AH29"/>
  <c r="AH28"/>
  <c r="AH27"/>
  <c r="AF27"/>
  <c r="AE27"/>
  <c r="AM36"/>
  <c r="AM33"/>
  <c r="AM38"/>
  <c r="V27"/>
  <c r="S27"/>
  <c r="P31"/>
  <c r="O31"/>
  <c r="N31"/>
  <c r="N27"/>
  <c r="V108"/>
  <c r="N99"/>
  <c r="N98"/>
  <c r="L99"/>
  <c r="L98"/>
  <c r="AM86"/>
  <c r="AM85"/>
  <c r="L85"/>
  <c r="L83"/>
  <c r="V31"/>
  <c r="R31"/>
  <c r="AF33"/>
  <c r="AL31"/>
  <c r="AH31"/>
  <c r="AE31"/>
  <c r="AB31"/>
  <c r="AB27"/>
  <c r="AA27"/>
  <c r="AM27"/>
  <c r="AL27"/>
  <c r="AJ27"/>
  <c r="AD27"/>
  <c r="Z104"/>
  <c r="Z103"/>
  <c r="V104"/>
  <c r="V103"/>
  <c r="R104"/>
  <c r="R103"/>
  <c r="Z99"/>
  <c r="Z98"/>
  <c r="V99"/>
  <c r="V98"/>
  <c r="R99"/>
  <c r="R98"/>
  <c r="V85"/>
  <c r="V83"/>
  <c r="E33" i="6" l="1"/>
  <c r="D33"/>
  <c r="D29"/>
  <c r="B29"/>
  <c r="B33" l="1"/>
  <c r="B10" l="1"/>
  <c r="F17" i="15" l="1"/>
  <c r="E17"/>
  <c r="D17"/>
  <c r="I17"/>
  <c r="M17" l="1"/>
  <c r="C17"/>
  <c r="H17"/>
  <c r="Z102" i="11" l="1"/>
  <c r="V102"/>
  <c r="AM6" l="1"/>
  <c r="T78" l="1"/>
  <c r="P78" l="1"/>
  <c r="X78" l="1"/>
  <c r="Z108" l="1"/>
  <c r="S71" l="1"/>
  <c r="S69"/>
  <c r="S75"/>
  <c r="S70"/>
  <c r="S72"/>
  <c r="S74"/>
  <c r="W69"/>
  <c r="W74"/>
  <c r="W72" l="1"/>
  <c r="W75"/>
  <c r="W70"/>
  <c r="W71"/>
  <c r="AA83" l="1"/>
  <c r="AA86"/>
  <c r="AA85"/>
  <c r="AB85" l="1"/>
  <c r="AB83"/>
  <c r="AL116" l="1"/>
  <c r="Z64" l="1"/>
  <c r="Z59" l="1"/>
  <c r="Z60" l="1"/>
  <c r="Z61"/>
  <c r="Z65"/>
  <c r="Z66"/>
  <c r="Z62"/>
  <c r="B21" i="6" l="1"/>
  <c r="B20" l="1"/>
  <c r="D24" l="1"/>
  <c r="D23"/>
  <c r="AE59" i="11" l="1"/>
  <c r="AE64"/>
  <c r="AE61" l="1"/>
  <c r="AE65"/>
  <c r="AE66"/>
  <c r="AE60"/>
  <c r="AE62"/>
  <c r="D25" i="6" l="1"/>
  <c r="AK78" i="11" l="1"/>
  <c r="AK84"/>
  <c r="AK86" l="1"/>
  <c r="AK83"/>
  <c r="AK85"/>
  <c r="AK64"/>
  <c r="AK69"/>
  <c r="AK74"/>
  <c r="AK59"/>
  <c r="AK66" l="1"/>
  <c r="AK75"/>
  <c r="AK60"/>
  <c r="AK65"/>
  <c r="AK70"/>
  <c r="AK71"/>
  <c r="AK61"/>
  <c r="AK62"/>
  <c r="AK72"/>
  <c r="J30" i="26" l="1"/>
  <c r="J24"/>
  <c r="E34"/>
  <c r="E24"/>
  <c r="D24" l="1"/>
  <c r="D21"/>
  <c r="H30"/>
  <c r="H24"/>
  <c r="H21"/>
  <c r="I11"/>
  <c r="I35"/>
  <c r="I24" l="1"/>
  <c r="F24"/>
  <c r="AM24" i="11"/>
  <c r="AL24"/>
  <c r="AM23"/>
  <c r="AL23"/>
  <c r="AM22"/>
  <c r="AL22"/>
  <c r="AJ24"/>
  <c r="AI24"/>
  <c r="AH24"/>
  <c r="AJ23"/>
  <c r="AI23"/>
  <c r="AH23"/>
  <c r="AJ22"/>
  <c r="AI22"/>
  <c r="AH22"/>
  <c r="AF24"/>
  <c r="AE24"/>
  <c r="AD24"/>
  <c r="AF23"/>
  <c r="AE23"/>
  <c r="AD23"/>
  <c r="AF22"/>
  <c r="AE22"/>
  <c r="AD22"/>
  <c r="AB24"/>
  <c r="AA24"/>
  <c r="Z24"/>
  <c r="AB23"/>
  <c r="AA23"/>
  <c r="Z23"/>
  <c r="AB22"/>
  <c r="AA22"/>
  <c r="Z22"/>
  <c r="X24"/>
  <c r="W24"/>
  <c r="V24"/>
  <c r="X23"/>
  <c r="W23"/>
  <c r="V23"/>
  <c r="X22"/>
  <c r="W22"/>
  <c r="V22"/>
  <c r="T24"/>
  <c r="S24"/>
  <c r="R24"/>
  <c r="T23"/>
  <c r="S23"/>
  <c r="R23"/>
  <c r="T22"/>
  <c r="S22"/>
  <c r="R22"/>
  <c r="P24"/>
  <c r="O24"/>
  <c r="N24"/>
  <c r="P23"/>
  <c r="O23"/>
  <c r="N23"/>
  <c r="P22"/>
  <c r="O22"/>
  <c r="N22"/>
  <c r="L24"/>
  <c r="K24"/>
  <c r="L23"/>
  <c r="K23"/>
  <c r="L22"/>
  <c r="K22"/>
  <c r="AJ21"/>
  <c r="AI21"/>
  <c r="AH21"/>
  <c r="AF21"/>
  <c r="AB21"/>
  <c r="AA21"/>
  <c r="Z21"/>
  <c r="X21"/>
  <c r="W21"/>
  <c r="V21"/>
  <c r="R21"/>
  <c r="N21"/>
  <c r="L21"/>
  <c r="K21"/>
  <c r="AJ19"/>
  <c r="AI19"/>
  <c r="AH19"/>
  <c r="AF19"/>
  <c r="AA19"/>
  <c r="Z19"/>
  <c r="R19"/>
  <c r="N19"/>
  <c r="L19"/>
  <c r="K19"/>
  <c r="L16"/>
  <c r="K16"/>
  <c r="AI13"/>
  <c r="AH13"/>
  <c r="AA13"/>
  <c r="Z13"/>
  <c r="R13"/>
  <c r="L13"/>
  <c r="K13"/>
  <c r="AB10"/>
  <c r="X10"/>
  <c r="W10"/>
  <c r="V10"/>
  <c r="K6"/>
  <c r="K10"/>
  <c r="AM7"/>
  <c r="P7"/>
  <c r="O7"/>
  <c r="N7"/>
  <c r="K7"/>
  <c r="AB115"/>
  <c r="AA115"/>
  <c r="Z115"/>
  <c r="AB114"/>
  <c r="AA114"/>
  <c r="Z114"/>
  <c r="AB113"/>
  <c r="AA113"/>
  <c r="Z113"/>
  <c r="X115"/>
  <c r="W115"/>
  <c r="V115"/>
  <c r="X114"/>
  <c r="W114"/>
  <c r="V114"/>
  <c r="X113"/>
  <c r="W113"/>
  <c r="V113"/>
  <c r="T115"/>
  <c r="S115"/>
  <c r="R115"/>
  <c r="T114"/>
  <c r="S114"/>
  <c r="R114"/>
  <c r="T113"/>
  <c r="S113"/>
  <c r="R113"/>
  <c r="P115"/>
  <c r="O115"/>
  <c r="N115"/>
  <c r="P114"/>
  <c r="O114"/>
  <c r="N114"/>
  <c r="P113"/>
  <c r="O113"/>
  <c r="N113"/>
  <c r="L115"/>
  <c r="K115"/>
  <c r="J115"/>
  <c r="L114"/>
  <c r="K114"/>
  <c r="J114"/>
  <c r="L113"/>
  <c r="K113"/>
  <c r="J113"/>
  <c r="AB112"/>
  <c r="AA112"/>
  <c r="Z112"/>
  <c r="AB111"/>
  <c r="AA111"/>
  <c r="Z111"/>
  <c r="AB110"/>
  <c r="AA110"/>
  <c r="Z110"/>
  <c r="X112"/>
  <c r="W112"/>
  <c r="V112"/>
  <c r="X111"/>
  <c r="W111"/>
  <c r="V111"/>
  <c r="X110"/>
  <c r="W110"/>
  <c r="V110"/>
  <c r="T112"/>
  <c r="S112"/>
  <c r="R112"/>
  <c r="T111"/>
  <c r="S111"/>
  <c r="R111"/>
  <c r="T110"/>
  <c r="S110"/>
  <c r="R110"/>
  <c r="P112"/>
  <c r="O112"/>
  <c r="N112"/>
  <c r="P111"/>
  <c r="O111"/>
  <c r="N111"/>
  <c r="P110"/>
  <c r="O110"/>
  <c r="N110"/>
  <c r="L112"/>
  <c r="K112"/>
  <c r="L111"/>
  <c r="K111"/>
  <c r="L110"/>
  <c r="K110"/>
  <c r="J112"/>
  <c r="J111"/>
  <c r="J110"/>
  <c r="J108"/>
  <c r="J107"/>
  <c r="J106"/>
  <c r="J105"/>
  <c r="J104"/>
  <c r="J103"/>
  <c r="J102"/>
  <c r="J99"/>
  <c r="J98"/>
  <c r="J91"/>
  <c r="J86"/>
  <c r="J85"/>
  <c r="J84"/>
  <c r="J83"/>
  <c r="AK81"/>
  <c r="AK80"/>
  <c r="AK79"/>
  <c r="AD80"/>
  <c r="AD79"/>
  <c r="R80"/>
  <c r="R79"/>
  <c r="N80"/>
  <c r="N79"/>
  <c r="J80"/>
  <c r="J79"/>
  <c r="J78"/>
  <c r="J75"/>
  <c r="J74"/>
  <c r="J72"/>
  <c r="J71"/>
  <c r="J70"/>
  <c r="J69"/>
  <c r="J66"/>
  <c r="J65"/>
  <c r="J64"/>
  <c r="J62"/>
  <c r="J61"/>
  <c r="J60"/>
  <c r="J59"/>
  <c r="J35"/>
  <c r="J31"/>
  <c r="J29"/>
  <c r="J28"/>
  <c r="J27"/>
  <c r="J24"/>
  <c r="J23"/>
  <c r="J22"/>
  <c r="J21"/>
  <c r="J18"/>
  <c r="J15"/>
  <c r="J12"/>
  <c r="J19"/>
  <c r="J16"/>
  <c r="J13"/>
  <c r="I115"/>
  <c r="I113"/>
  <c r="I112"/>
  <c r="I111"/>
  <c r="I110"/>
  <c r="I108"/>
  <c r="I107"/>
  <c r="I106"/>
  <c r="I105"/>
  <c r="I104"/>
  <c r="I103"/>
  <c r="I99"/>
  <c r="I98"/>
  <c r="I91"/>
  <c r="I86"/>
  <c r="I85"/>
  <c r="I84"/>
  <c r="I83"/>
  <c r="I81"/>
  <c r="I78"/>
  <c r="I75"/>
  <c r="I74"/>
  <c r="I72"/>
  <c r="I71"/>
  <c r="I70"/>
  <c r="I69"/>
  <c r="I66"/>
  <c r="I65"/>
  <c r="I64"/>
  <c r="I62"/>
  <c r="I61"/>
  <c r="I60"/>
  <c r="I59"/>
  <c r="I29"/>
  <c r="I28"/>
  <c r="I27"/>
  <c r="I24"/>
  <c r="I23"/>
  <c r="I22"/>
  <c r="I21"/>
  <c r="I19"/>
  <c r="I18"/>
  <c r="I16"/>
  <c r="I15"/>
  <c r="B115"/>
  <c r="B113"/>
  <c r="B112"/>
  <c r="B111"/>
  <c r="B110"/>
  <c r="B108"/>
  <c r="B107"/>
  <c r="B106"/>
  <c r="B105"/>
  <c r="B104"/>
  <c r="B103"/>
  <c r="B99"/>
  <c r="B98"/>
  <c r="B86"/>
  <c r="B85"/>
  <c r="B84"/>
  <c r="B83"/>
  <c r="B78"/>
  <c r="B66"/>
  <c r="B65"/>
  <c r="B64"/>
  <c r="B62"/>
  <c r="B61"/>
  <c r="B60"/>
  <c r="B59"/>
  <c r="B40"/>
  <c r="B31"/>
  <c r="B27"/>
  <c r="B24"/>
  <c r="B23"/>
  <c r="B22"/>
  <c r="J14" l="1"/>
  <c r="J17"/>
  <c r="AM31" i="19"/>
  <c r="AM38"/>
  <c r="AM33"/>
  <c r="AM29"/>
  <c r="AM27"/>
  <c r="AM25"/>
  <c r="AM23"/>
  <c r="AM22"/>
  <c r="AM89"/>
  <c r="AL113"/>
  <c r="AL31"/>
  <c r="AL27"/>
  <c r="AL25"/>
  <c r="AL22"/>
  <c r="AK116"/>
  <c r="AK57" s="1"/>
  <c r="AK29"/>
  <c r="AJ37"/>
  <c r="AK31"/>
  <c r="AK27"/>
  <c r="AK25"/>
  <c r="AK24"/>
  <c r="AK22"/>
  <c r="AI31"/>
  <c r="AI27"/>
  <c r="AI25"/>
  <c r="AI22"/>
  <c r="AI13"/>
  <c r="AH31"/>
  <c r="AH29"/>
  <c r="AH27"/>
  <c r="AH25"/>
  <c r="AH22"/>
  <c r="AH13"/>
  <c r="AD31"/>
  <c r="AD25"/>
  <c r="AF31"/>
  <c r="AF27"/>
  <c r="AF25"/>
  <c r="AF22"/>
  <c r="AF20"/>
  <c r="AE22"/>
  <c r="AE31"/>
  <c r="AE27"/>
  <c r="AE25"/>
  <c r="AB31"/>
  <c r="AB25"/>
  <c r="AB22"/>
  <c r="AA31"/>
  <c r="AA27"/>
  <c r="AA25"/>
  <c r="AA22"/>
  <c r="Z22"/>
  <c r="Z31"/>
  <c r="Z27"/>
  <c r="Z25"/>
  <c r="W48"/>
  <c r="V31" l="1"/>
  <c r="V27"/>
  <c r="V25"/>
  <c r="V22"/>
  <c r="R31" l="1"/>
  <c r="R27"/>
  <c r="R25"/>
  <c r="R22"/>
  <c r="S31"/>
  <c r="T31" l="1"/>
  <c r="O31"/>
  <c r="O25"/>
  <c r="N31"/>
  <c r="N27"/>
  <c r="N25"/>
  <c r="N22"/>
  <c r="N7"/>
  <c r="N6"/>
  <c r="L112"/>
  <c r="L31"/>
  <c r="L25"/>
  <c r="L24"/>
  <c r="L22"/>
  <c r="L13"/>
  <c r="K27"/>
  <c r="K31"/>
  <c r="K25"/>
  <c r="K24"/>
  <c r="K22"/>
  <c r="K13"/>
  <c r="J78"/>
  <c r="J83"/>
  <c r="J85"/>
  <c r="L99"/>
  <c r="J31" l="1"/>
  <c r="J27"/>
  <c r="J25"/>
  <c r="J24"/>
  <c r="J22"/>
  <c r="J19"/>
  <c r="J18"/>
  <c r="J13"/>
  <c r="I78"/>
  <c r="I14" l="1"/>
  <c r="I13"/>
  <c r="I31"/>
  <c r="I27"/>
  <c r="I25"/>
  <c r="I24"/>
  <c r="I22"/>
  <c r="B31" l="1"/>
  <c r="B27"/>
  <c r="B25"/>
  <c r="B22"/>
  <c r="G127" i="3"/>
  <c r="B59"/>
  <c r="E60"/>
  <c r="G60"/>
  <c r="I60" s="1"/>
  <c r="F59"/>
  <c r="H59" s="1"/>
  <c r="D59"/>
  <c r="E59" s="1"/>
  <c r="G123"/>
  <c r="I122"/>
  <c r="H122"/>
  <c r="I59" l="1"/>
  <c r="I123"/>
  <c r="G106"/>
  <c r="F106"/>
  <c r="G104"/>
  <c r="F104"/>
  <c r="G100"/>
  <c r="F100"/>
  <c r="G108"/>
  <c r="F108"/>
  <c r="G84" l="1"/>
  <c r="F84"/>
  <c r="G80"/>
  <c r="F80"/>
  <c r="E53"/>
  <c r="E49"/>
  <c r="E35"/>
  <c r="E33"/>
  <c r="E31"/>
  <c r="E27"/>
  <c r="E25"/>
  <c r="E23"/>
  <c r="E21"/>
  <c r="E17"/>
  <c r="E15"/>
  <c r="E13"/>
  <c r="E11"/>
  <c r="E9"/>
  <c r="E126"/>
  <c r="E124"/>
  <c r="E125"/>
  <c r="E120"/>
  <c r="D120"/>
  <c r="E118"/>
  <c r="D118"/>
  <c r="E116"/>
  <c r="D116"/>
  <c r="E114"/>
  <c r="D114"/>
  <c r="E112"/>
  <c r="D112"/>
  <c r="E110"/>
  <c r="D110"/>
  <c r="E108"/>
  <c r="D108"/>
  <c r="E106"/>
  <c r="D106"/>
  <c r="E104"/>
  <c r="D104"/>
  <c r="E102"/>
  <c r="D102"/>
  <c r="E100"/>
  <c r="D100"/>
  <c r="E98"/>
  <c r="D98"/>
  <c r="E96"/>
  <c r="D96"/>
  <c r="E94"/>
  <c r="D94"/>
  <c r="E90"/>
  <c r="D90"/>
  <c r="E88"/>
  <c r="D88"/>
  <c r="E86"/>
  <c r="D86"/>
  <c r="E84"/>
  <c r="D84"/>
  <c r="E80"/>
  <c r="D80"/>
  <c r="E78"/>
  <c r="D78"/>
  <c r="E76"/>
  <c r="D76"/>
  <c r="E74"/>
  <c r="D74"/>
  <c r="E72"/>
  <c r="D72"/>
  <c r="E82" l="1"/>
  <c r="D82"/>
  <c r="G72"/>
  <c r="F72"/>
  <c r="W113" i="14"/>
  <c r="X113"/>
  <c r="X112"/>
  <c r="X111"/>
  <c r="H115"/>
  <c r="F115" l="1"/>
  <c r="D107"/>
  <c r="K61" i="25"/>
  <c r="B61" s="1"/>
  <c r="J61"/>
  <c r="I61"/>
  <c r="H61"/>
  <c r="G61"/>
  <c r="F61"/>
  <c r="E61"/>
  <c r="D61"/>
  <c r="D91"/>
  <c r="R44" i="14" l="1"/>
  <c r="Q44"/>
  <c r="Y44" s="1"/>
  <c r="N29"/>
  <c r="M29"/>
  <c r="N20" l="1"/>
  <c r="M20"/>
  <c r="K20"/>
  <c r="J20"/>
  <c r="P14"/>
  <c r="O14"/>
  <c r="G10"/>
  <c r="F10"/>
  <c r="P26" i="25"/>
  <c r="O26"/>
  <c r="P19"/>
  <c r="O19"/>
  <c r="N17"/>
  <c r="M17"/>
  <c r="G16" l="1"/>
  <c r="F16"/>
  <c r="L43" i="14" l="1"/>
  <c r="AD43"/>
  <c r="AC43"/>
  <c r="AD28"/>
  <c r="AC28"/>
  <c r="AD25"/>
  <c r="AC25"/>
  <c r="AD19"/>
  <c r="AC19"/>
  <c r="AD16"/>
  <c r="AC16"/>
  <c r="AD13"/>
  <c r="AC13"/>
  <c r="AC10"/>
  <c r="AD10"/>
  <c r="AD7"/>
  <c r="L31"/>
  <c r="L28"/>
  <c r="L25"/>
  <c r="L19"/>
  <c r="L10"/>
  <c r="X43"/>
  <c r="W43"/>
  <c r="V43"/>
  <c r="U43"/>
  <c r="T43"/>
  <c r="S43"/>
  <c r="R43"/>
  <c r="Q43"/>
  <c r="I43"/>
  <c r="H43"/>
  <c r="R31"/>
  <c r="Q31"/>
  <c r="K31"/>
  <c r="J31"/>
  <c r="X28"/>
  <c r="W28"/>
  <c r="V28"/>
  <c r="U28"/>
  <c r="P28"/>
  <c r="O28"/>
  <c r="N28"/>
  <c r="M28"/>
  <c r="K28"/>
  <c r="J28"/>
  <c r="E25"/>
  <c r="D25"/>
  <c r="N25"/>
  <c r="M25"/>
  <c r="V25"/>
  <c r="U25"/>
  <c r="X16"/>
  <c r="W16"/>
  <c r="V19"/>
  <c r="U19"/>
  <c r="R19"/>
  <c r="Q19"/>
  <c r="N19"/>
  <c r="M19"/>
  <c r="K19"/>
  <c r="J19"/>
  <c r="I19"/>
  <c r="H19"/>
  <c r="V16"/>
  <c r="U16"/>
  <c r="N16"/>
  <c r="M16"/>
  <c r="K16"/>
  <c r="J16"/>
  <c r="K13"/>
  <c r="J13"/>
  <c r="N13"/>
  <c r="M13"/>
  <c r="V13"/>
  <c r="U13"/>
  <c r="V10"/>
  <c r="U10"/>
  <c r="N10"/>
  <c r="M10"/>
  <c r="K10"/>
  <c r="J10"/>
  <c r="I10"/>
  <c r="H10"/>
  <c r="V7"/>
  <c r="U7"/>
  <c r="K7"/>
  <c r="J7"/>
  <c r="I7"/>
  <c r="H7"/>
  <c r="L28" i="25"/>
  <c r="L25"/>
  <c r="L22"/>
  <c r="L19"/>
  <c r="L16"/>
  <c r="AB25"/>
  <c r="AA25"/>
  <c r="AB22"/>
  <c r="AA22"/>
  <c r="AB19"/>
  <c r="AA19"/>
  <c r="AA16"/>
  <c r="AB16"/>
  <c r="AB13"/>
  <c r="AB10"/>
  <c r="AB7"/>
  <c r="P28"/>
  <c r="O28"/>
  <c r="K28"/>
  <c r="J28"/>
  <c r="K25"/>
  <c r="J25"/>
  <c r="N25"/>
  <c r="M25"/>
  <c r="P25"/>
  <c r="O25"/>
  <c r="R25"/>
  <c r="Q25"/>
  <c r="T25"/>
  <c r="S25"/>
  <c r="T22"/>
  <c r="S22"/>
  <c r="N22"/>
  <c r="M22"/>
  <c r="K22"/>
  <c r="J22"/>
  <c r="I22"/>
  <c r="H22"/>
  <c r="E19"/>
  <c r="D19"/>
  <c r="N19"/>
  <c r="M19"/>
  <c r="V19"/>
  <c r="U19"/>
  <c r="T19"/>
  <c r="S19"/>
  <c r="V10"/>
  <c r="U10"/>
  <c r="V7"/>
  <c r="U7"/>
  <c r="V16"/>
  <c r="U16"/>
  <c r="V13"/>
  <c r="U13"/>
  <c r="T13"/>
  <c r="S13"/>
  <c r="T16"/>
  <c r="S16"/>
  <c r="R16"/>
  <c r="Q16"/>
  <c r="P16"/>
  <c r="O16"/>
  <c r="N16"/>
  <c r="M16"/>
  <c r="K16"/>
  <c r="J16"/>
  <c r="I16"/>
  <c r="H16"/>
  <c r="T7"/>
  <c r="S7"/>
  <c r="T10"/>
  <c r="S10"/>
  <c r="P13"/>
  <c r="O13"/>
  <c r="N13"/>
  <c r="M13"/>
  <c r="K13"/>
  <c r="J13"/>
  <c r="N10"/>
  <c r="M10"/>
  <c r="N7"/>
  <c r="M7"/>
  <c r="K10"/>
  <c r="J10"/>
  <c r="K7"/>
  <c r="J7" l="1"/>
  <c r="K27" i="8" l="1"/>
  <c r="J62"/>
  <c r="J55" l="1"/>
  <c r="J27"/>
  <c r="AE20" i="19" l="1"/>
  <c r="W31"/>
  <c r="B109" l="1"/>
  <c r="E45" i="20" l="1"/>
  <c r="D45" l="1"/>
  <c r="C44"/>
  <c r="G113" i="3" l="1"/>
  <c r="H23" i="17" l="1"/>
  <c r="L95" i="14" l="1"/>
  <c r="N68"/>
  <c r="M103" i="25" l="1"/>
  <c r="L99"/>
  <c r="A99"/>
  <c r="H104"/>
  <c r="F104"/>
  <c r="J96"/>
  <c r="AB38" i="2" l="1"/>
  <c r="AA38"/>
  <c r="Z38"/>
  <c r="V38"/>
  <c r="U38"/>
  <c r="T38"/>
  <c r="S38"/>
  <c r="R38"/>
  <c r="Q38"/>
  <c r="P38"/>
  <c r="E38"/>
  <c r="D38"/>
  <c r="H20" i="14" l="1"/>
  <c r="I20"/>
  <c r="N17"/>
  <c r="M17"/>
  <c r="W8" i="25" l="1"/>
  <c r="AE11" i="14" l="1"/>
  <c r="K50" i="8" l="1"/>
  <c r="I45"/>
  <c r="I43"/>
  <c r="F43"/>
  <c r="F45"/>
  <c r="F41" l="1"/>
  <c r="I42" l="1"/>
  <c r="F42"/>
  <c r="D27" i="9" l="1"/>
  <c r="R46" i="19"/>
  <c r="N17"/>
  <c r="J20" l="1"/>
  <c r="B20"/>
  <c r="B13"/>
  <c r="H71" i="21"/>
  <c r="H7"/>
  <c r="H60"/>
  <c r="H44"/>
  <c r="H7" i="18" l="1"/>
  <c r="E18" i="26"/>
  <c r="D18" l="1"/>
  <c r="K32" i="14" l="1"/>
  <c r="L32" s="1"/>
  <c r="J32"/>
  <c r="Q32" s="1"/>
  <c r="K29"/>
  <c r="J29"/>
  <c r="K26" i="25"/>
  <c r="X26" s="1"/>
  <c r="J26"/>
  <c r="K23"/>
  <c r="J23"/>
  <c r="N14"/>
  <c r="M14"/>
  <c r="N14" i="2"/>
  <c r="N38" s="1"/>
  <c r="M14"/>
  <c r="M38" s="1"/>
  <c r="K8"/>
  <c r="J8"/>
  <c r="E26" i="8" l="1"/>
  <c r="E50" i="9" l="1"/>
  <c r="D71" i="4" l="1"/>
  <c r="C57" i="9"/>
  <c r="C56"/>
  <c r="C55"/>
  <c r="B68" i="8"/>
  <c r="F88"/>
  <c r="E88"/>
  <c r="F87"/>
  <c r="E87"/>
  <c r="F84"/>
  <c r="F83"/>
  <c r="F82"/>
  <c r="F81"/>
  <c r="F77"/>
  <c r="E77"/>
  <c r="F76"/>
  <c r="E76"/>
  <c r="F63"/>
  <c r="E63"/>
  <c r="F56"/>
  <c r="E56"/>
  <c r="E25"/>
  <c r="E16"/>
  <c r="F14"/>
  <c r="E14"/>
  <c r="C73" i="5"/>
  <c r="I59"/>
  <c r="I55"/>
  <c r="I54"/>
  <c r="I53"/>
  <c r="I52"/>
  <c r="I48"/>
  <c r="I47"/>
  <c r="I9"/>
  <c r="I8"/>
  <c r="F26" i="6"/>
  <c r="F25"/>
  <c r="C25"/>
  <c r="F24"/>
  <c r="C24"/>
  <c r="I59" i="21"/>
  <c r="I55"/>
  <c r="I54"/>
  <c r="I53"/>
  <c r="I52"/>
  <c r="F73" i="5"/>
  <c r="F48"/>
  <c r="F47"/>
  <c r="H46"/>
  <c r="H43"/>
  <c r="H41"/>
  <c r="J31" i="16"/>
  <c r="I31"/>
  <c r="H31"/>
  <c r="F31"/>
  <c r="E31"/>
  <c r="D31"/>
  <c r="C31"/>
  <c r="J30"/>
  <c r="I30"/>
  <c r="H30"/>
  <c r="F28"/>
  <c r="E28"/>
  <c r="D28"/>
  <c r="C28"/>
  <c r="F27"/>
  <c r="E27"/>
  <c r="D27"/>
  <c r="C27"/>
  <c r="F20"/>
  <c r="E20"/>
  <c r="D20"/>
  <c r="C20"/>
  <c r="F19"/>
  <c r="E19"/>
  <c r="D19"/>
  <c r="C19"/>
  <c r="F18"/>
  <c r="E18"/>
  <c r="D18"/>
  <c r="C18"/>
  <c r="I17"/>
  <c r="F17"/>
  <c r="E17"/>
  <c r="D17"/>
  <c r="C17"/>
  <c r="I15"/>
  <c r="F15"/>
  <c r="E15"/>
  <c r="D15"/>
  <c r="C15"/>
  <c r="I14"/>
  <c r="F14"/>
  <c r="E14"/>
  <c r="D14"/>
  <c r="C14"/>
  <c r="I13"/>
  <c r="F13"/>
  <c r="E13"/>
  <c r="D13"/>
  <c r="C13"/>
  <c r="I12"/>
  <c r="F12"/>
  <c r="I10"/>
  <c r="F10"/>
  <c r="E10"/>
  <c r="D10"/>
  <c r="C10"/>
  <c r="I9"/>
  <c r="F9"/>
  <c r="E9"/>
  <c r="D9"/>
  <c r="C9"/>
  <c r="J6"/>
  <c r="G5"/>
  <c r="F5"/>
  <c r="E5"/>
  <c r="D5"/>
  <c r="C5"/>
  <c r="J4"/>
  <c r="F4"/>
  <c r="E4"/>
  <c r="D4"/>
  <c r="C4"/>
  <c r="E73" i="5"/>
  <c r="D73"/>
  <c r="E68"/>
  <c r="E65"/>
  <c r="D65"/>
  <c r="E64"/>
  <c r="D64"/>
  <c r="E63"/>
  <c r="D63"/>
  <c r="E62"/>
  <c r="D62"/>
  <c r="E12"/>
  <c r="D12"/>
  <c r="E11"/>
  <c r="D11"/>
  <c r="E74" i="21"/>
  <c r="D74"/>
  <c r="E12"/>
  <c r="D12"/>
  <c r="E11"/>
  <c r="D11"/>
  <c r="N59" i="5"/>
  <c r="N58"/>
  <c r="K58"/>
  <c r="N57"/>
  <c r="K57"/>
  <c r="K56"/>
  <c r="K55"/>
  <c r="L54"/>
  <c r="K54"/>
  <c r="L53"/>
  <c r="K53"/>
  <c r="K52"/>
  <c r="N51"/>
  <c r="M47"/>
  <c r="O19"/>
  <c r="N27"/>
  <c r="L27"/>
  <c r="N26"/>
  <c r="L26"/>
  <c r="L21"/>
  <c r="L20"/>
  <c r="AM116" i="11"/>
  <c r="AL115"/>
  <c r="AL114"/>
  <c r="B114"/>
  <c r="AA116"/>
  <c r="Z116"/>
  <c r="V116"/>
  <c r="I114"/>
  <c r="AB108"/>
  <c r="AA108"/>
  <c r="X108"/>
  <c r="W108"/>
  <c r="T108"/>
  <c r="S108"/>
  <c r="P108"/>
  <c r="O108"/>
  <c r="K108"/>
  <c r="AB107"/>
  <c r="AA107"/>
  <c r="X107"/>
  <c r="W107"/>
  <c r="T107"/>
  <c r="S107"/>
  <c r="P107"/>
  <c r="O107"/>
  <c r="K107"/>
  <c r="AB106"/>
  <c r="AA106"/>
  <c r="X106"/>
  <c r="W106"/>
  <c r="T106"/>
  <c r="S106"/>
  <c r="P106"/>
  <c r="O106"/>
  <c r="K106"/>
  <c r="AB105"/>
  <c r="AA105"/>
  <c r="X105"/>
  <c r="W105"/>
  <c r="T105"/>
  <c r="S105"/>
  <c r="P105"/>
  <c r="O105"/>
  <c r="K105"/>
  <c r="AB104"/>
  <c r="AA104"/>
  <c r="X104"/>
  <c r="W104"/>
  <c r="T104"/>
  <c r="S104"/>
  <c r="P104"/>
  <c r="O104"/>
  <c r="K104"/>
  <c r="AB103"/>
  <c r="AA103"/>
  <c r="X103"/>
  <c r="W103"/>
  <c r="T103"/>
  <c r="S103"/>
  <c r="P103"/>
  <c r="O103"/>
  <c r="K103"/>
  <c r="AB99"/>
  <c r="AA99"/>
  <c r="X99"/>
  <c r="W99"/>
  <c r="T99"/>
  <c r="S99"/>
  <c r="P99"/>
  <c r="O99"/>
  <c r="K99"/>
  <c r="AB98"/>
  <c r="AA98"/>
  <c r="X98"/>
  <c r="W98"/>
  <c r="T98"/>
  <c r="S98"/>
  <c r="P98"/>
  <c r="O98"/>
  <c r="K98"/>
  <c r="AB91"/>
  <c r="AA91"/>
  <c r="V91"/>
  <c r="P91"/>
  <c r="O91"/>
  <c r="L91"/>
  <c r="K91"/>
  <c r="B91"/>
  <c r="X86"/>
  <c r="W86"/>
  <c r="T86"/>
  <c r="S86"/>
  <c r="P86"/>
  <c r="O86"/>
  <c r="K86"/>
  <c r="X85"/>
  <c r="W85"/>
  <c r="T85"/>
  <c r="S85"/>
  <c r="P85"/>
  <c r="O85"/>
  <c r="K85"/>
  <c r="X84"/>
  <c r="W84"/>
  <c r="T84"/>
  <c r="S84"/>
  <c r="P84"/>
  <c r="O84"/>
  <c r="K84"/>
  <c r="X83"/>
  <c r="W83"/>
  <c r="T83"/>
  <c r="S83"/>
  <c r="P83"/>
  <c r="O83"/>
  <c r="K83"/>
  <c r="K78"/>
  <c r="L75"/>
  <c r="K75"/>
  <c r="L74"/>
  <c r="K74"/>
  <c r="L72"/>
  <c r="K72"/>
  <c r="L71"/>
  <c r="K71"/>
  <c r="L70"/>
  <c r="K70"/>
  <c r="L69"/>
  <c r="K69"/>
  <c r="L66"/>
  <c r="K66"/>
  <c r="H66"/>
  <c r="G66"/>
  <c r="F66"/>
  <c r="E66"/>
  <c r="D66"/>
  <c r="C66"/>
  <c r="L65"/>
  <c r="K65"/>
  <c r="H65"/>
  <c r="G65"/>
  <c r="F65"/>
  <c r="E65"/>
  <c r="D65"/>
  <c r="C65"/>
  <c r="L64"/>
  <c r="K64"/>
  <c r="H64"/>
  <c r="G64"/>
  <c r="F64"/>
  <c r="E64"/>
  <c r="D64"/>
  <c r="C64"/>
  <c r="L62"/>
  <c r="K62"/>
  <c r="H62"/>
  <c r="G62"/>
  <c r="F62"/>
  <c r="E62"/>
  <c r="D62"/>
  <c r="C62"/>
  <c r="L61"/>
  <c r="K61"/>
  <c r="H61"/>
  <c r="G61"/>
  <c r="F61"/>
  <c r="E61"/>
  <c r="D61"/>
  <c r="C61"/>
  <c r="L60"/>
  <c r="K60"/>
  <c r="H60"/>
  <c r="G60"/>
  <c r="F60"/>
  <c r="E60"/>
  <c r="D60"/>
  <c r="C60"/>
  <c r="L59"/>
  <c r="K59"/>
  <c r="H59"/>
  <c r="G59"/>
  <c r="F59"/>
  <c r="E59"/>
  <c r="D59"/>
  <c r="C59"/>
  <c r="V55"/>
  <c r="AI40"/>
  <c r="AI39"/>
  <c r="AI38"/>
  <c r="AI37"/>
  <c r="AI36"/>
  <c r="AI35"/>
  <c r="AE35"/>
  <c r="AI34"/>
  <c r="AI33"/>
  <c r="AI32"/>
  <c r="AF29"/>
  <c r="AE29"/>
  <c r="AF28"/>
  <c r="AE28"/>
  <c r="AE11"/>
  <c r="AB11"/>
  <c r="AE10"/>
  <c r="X11"/>
  <c r="W11"/>
  <c r="V11"/>
  <c r="N8"/>
  <c r="AM8"/>
  <c r="N27" i="21"/>
  <c r="N26"/>
  <c r="O19"/>
  <c r="AM116" i="19"/>
  <c r="X86"/>
  <c r="X85"/>
  <c r="X84"/>
  <c r="X83"/>
  <c r="H66"/>
  <c r="G66"/>
  <c r="F66"/>
  <c r="E66"/>
  <c r="D66"/>
  <c r="C66"/>
  <c r="H65"/>
  <c r="G65"/>
  <c r="F65"/>
  <c r="E65"/>
  <c r="D65"/>
  <c r="C65"/>
  <c r="H64"/>
  <c r="G64"/>
  <c r="F64"/>
  <c r="E64"/>
  <c r="D64"/>
  <c r="C64"/>
  <c r="H62"/>
  <c r="G62"/>
  <c r="F62"/>
  <c r="E62"/>
  <c r="D62"/>
  <c r="C62"/>
  <c r="H61"/>
  <c r="G61"/>
  <c r="F61"/>
  <c r="E61"/>
  <c r="D61"/>
  <c r="C61"/>
  <c r="H60"/>
  <c r="G60"/>
  <c r="F60"/>
  <c r="E60"/>
  <c r="D60"/>
  <c r="C60"/>
  <c r="H59"/>
  <c r="G59"/>
  <c r="F59"/>
  <c r="E59"/>
  <c r="D59"/>
  <c r="C59"/>
  <c r="P22"/>
  <c r="C96" i="14"/>
  <c r="C95"/>
  <c r="M95" s="1"/>
  <c r="C94"/>
  <c r="C91"/>
  <c r="C90"/>
  <c r="C89"/>
  <c r="C88"/>
  <c r="C87"/>
  <c r="C86"/>
  <c r="C85"/>
  <c r="C43"/>
  <c r="B43"/>
  <c r="C28"/>
  <c r="B28"/>
  <c r="C25"/>
  <c r="B25"/>
  <c r="V18"/>
  <c r="R16"/>
  <c r="Q16"/>
  <c r="I16"/>
  <c r="H16"/>
  <c r="C19"/>
  <c r="B19"/>
  <c r="C16"/>
  <c r="B16"/>
  <c r="C13"/>
  <c r="B13"/>
  <c r="C10"/>
  <c r="B10"/>
  <c r="C7"/>
  <c r="B7"/>
  <c r="C25" i="25"/>
  <c r="B25"/>
  <c r="C22"/>
  <c r="B22"/>
  <c r="C19"/>
  <c r="B19"/>
  <c r="C16"/>
  <c r="B16"/>
  <c r="C13"/>
  <c r="B13"/>
  <c r="C10"/>
  <c r="B10"/>
  <c r="C7"/>
  <c r="B7"/>
  <c r="AB34" i="2"/>
  <c r="AA34"/>
  <c r="L7"/>
  <c r="A28"/>
  <c r="A25"/>
  <c r="A22"/>
  <c r="A19"/>
  <c r="A16"/>
  <c r="A13"/>
  <c r="A10"/>
  <c r="A7"/>
  <c r="AN89" i="19" l="1"/>
  <c r="G4" i="21" l="1"/>
  <c r="AE17" i="19"/>
  <c r="AB13"/>
  <c r="AB14" s="1"/>
  <c r="Z14"/>
  <c r="Z13"/>
  <c r="M7"/>
  <c r="M6"/>
  <c r="M8" l="1"/>
  <c r="J118" i="14" l="1"/>
  <c r="L117"/>
  <c r="D118"/>
  <c r="S96" i="25" l="1"/>
  <c r="S95"/>
  <c r="S94"/>
  <c r="S93"/>
  <c r="S92"/>
  <c r="D102"/>
  <c r="D100"/>
  <c r="D92"/>
  <c r="P96"/>
  <c r="R96" s="1"/>
  <c r="P95"/>
  <c r="A104"/>
  <c r="H92"/>
  <c r="H91"/>
  <c r="F92"/>
  <c r="F91"/>
  <c r="J92"/>
  <c r="J91"/>
  <c r="N95"/>
  <c r="R95" s="1"/>
  <c r="N94"/>
  <c r="R94" s="1"/>
  <c r="N93"/>
  <c r="R92" l="1"/>
  <c r="R91"/>
  <c r="L101"/>
  <c r="L93"/>
  <c r="R93" s="1"/>
  <c r="G85" i="3" l="1"/>
  <c r="F112"/>
  <c r="G112"/>
  <c r="R18" i="14" l="1"/>
  <c r="Q18"/>
  <c r="AA14"/>
  <c r="B32" i="25" l="1"/>
  <c r="K29"/>
  <c r="L29" s="1"/>
  <c r="J29"/>
  <c r="O29" s="1"/>
  <c r="X20"/>
  <c r="X23"/>
  <c r="AC23" l="1"/>
  <c r="AC20"/>
  <c r="AC17"/>
  <c r="N11" i="17" l="1"/>
  <c r="N38"/>
  <c r="N37"/>
  <c r="N36"/>
  <c r="N35"/>
  <c r="N34"/>
  <c r="N32"/>
  <c r="N31"/>
  <c r="N30"/>
  <c r="N28"/>
  <c r="N27"/>
  <c r="N26"/>
  <c r="N25"/>
  <c r="N24"/>
  <c r="L52"/>
  <c r="L50"/>
  <c r="L36"/>
  <c r="M36" s="1"/>
  <c r="L35"/>
  <c r="L32"/>
  <c r="M32" s="1"/>
  <c r="L31"/>
  <c r="M38"/>
  <c r="L40"/>
  <c r="M35"/>
  <c r="M31"/>
  <c r="L20"/>
  <c r="M20" s="1"/>
  <c r="L19"/>
  <c r="I35"/>
  <c r="I32"/>
  <c r="I31"/>
  <c r="J38"/>
  <c r="J37"/>
  <c r="J36"/>
  <c r="J35"/>
  <c r="J32"/>
  <c r="J31"/>
  <c r="H5"/>
  <c r="L21" l="1"/>
  <c r="M21" s="1"/>
  <c r="M19"/>
  <c r="K35" i="2" l="1"/>
  <c r="J35"/>
  <c r="L35" l="1"/>
  <c r="L38" s="1"/>
  <c r="K38"/>
  <c r="O35"/>
  <c r="O38" s="1"/>
  <c r="J38"/>
  <c r="L37" i="17"/>
  <c r="M37" s="1"/>
  <c r="AJ29" i="19"/>
  <c r="J62" i="21" l="1"/>
  <c r="K58"/>
  <c r="K57"/>
  <c r="K56"/>
  <c r="K55"/>
  <c r="K54"/>
  <c r="K53"/>
  <c r="R78"/>
  <c r="R75"/>
  <c r="R74"/>
  <c r="R73"/>
  <c r="G52" l="1"/>
  <c r="G50" i="20"/>
  <c r="F50"/>
  <c r="E3" l="1"/>
  <c r="H22" i="17" l="1"/>
  <c r="C102" i="2"/>
  <c r="M48" i="26"/>
  <c r="M42"/>
  <c r="M41"/>
  <c r="M40"/>
  <c r="M39"/>
  <c r="M38"/>
  <c r="M37"/>
  <c r="M36"/>
  <c r="M53"/>
  <c r="N53" s="1"/>
  <c r="M52"/>
  <c r="N52" s="1"/>
  <c r="M16"/>
  <c r="M15"/>
  <c r="M17" s="1"/>
  <c r="P61" i="25"/>
  <c r="N22" i="17" l="1"/>
  <c r="N23"/>
  <c r="AM8" i="19" l="1"/>
  <c r="AL116"/>
  <c r="AJ22"/>
  <c r="AJ34"/>
  <c r="AJ31"/>
  <c r="AJ27"/>
  <c r="AJ25"/>
  <c r="AJ24"/>
  <c r="AJ23"/>
  <c r="AH20"/>
  <c r="AI20"/>
  <c r="AH14"/>
  <c r="AF17"/>
  <c r="Y124"/>
  <c r="Y123"/>
  <c r="U124"/>
  <c r="U123"/>
  <c r="Q124"/>
  <c r="Q123"/>
  <c r="M124"/>
  <c r="AC124" s="1"/>
  <c r="AB11"/>
  <c r="Z67"/>
  <c r="Z17"/>
  <c r="Z20"/>
  <c r="X55"/>
  <c r="V55"/>
  <c r="W55"/>
  <c r="X11"/>
  <c r="W11"/>
  <c r="V11"/>
  <c r="R20" l="1"/>
  <c r="O8"/>
  <c r="N8"/>
  <c r="M59" l="1"/>
  <c r="M60"/>
  <c r="M61"/>
  <c r="M62"/>
  <c r="L14"/>
  <c r="K17"/>
  <c r="K14"/>
  <c r="K11"/>
  <c r="K8"/>
  <c r="J17"/>
  <c r="J14"/>
  <c r="I20"/>
  <c r="I17"/>
  <c r="B14"/>
  <c r="E102" i="4" l="1"/>
  <c r="J30" i="21" l="1"/>
  <c r="J29"/>
  <c r="J21"/>
  <c r="J20"/>
  <c r="J18"/>
  <c r="J17"/>
  <c r="I69"/>
  <c r="I47"/>
  <c r="E69"/>
  <c r="G48"/>
  <c r="G47"/>
  <c r="G59"/>
  <c r="G50"/>
  <c r="G46"/>
  <c r="G44"/>
  <c r="G43"/>
  <c r="G42"/>
  <c r="G41"/>
  <c r="G16"/>
  <c r="G15"/>
  <c r="G14"/>
  <c r="F59"/>
  <c r="F50"/>
  <c r="F48"/>
  <c r="F47"/>
  <c r="F46"/>
  <c r="F44"/>
  <c r="F43"/>
  <c r="F42"/>
  <c r="F41"/>
  <c r="F16"/>
  <c r="F15"/>
  <c r="F14"/>
  <c r="F16" i="5"/>
  <c r="F15"/>
  <c r="F14"/>
  <c r="E59" i="21"/>
  <c r="E50"/>
  <c r="E48"/>
  <c r="E47"/>
  <c r="E46"/>
  <c r="E44"/>
  <c r="E43"/>
  <c r="E42"/>
  <c r="E41"/>
  <c r="E27"/>
  <c r="E26"/>
  <c r="E16"/>
  <c r="E15"/>
  <c r="D52"/>
  <c r="D48"/>
  <c r="D47"/>
  <c r="D46"/>
  <c r="F9"/>
  <c r="F8"/>
  <c r="P61" l="1"/>
  <c r="I61"/>
  <c r="E61"/>
  <c r="J58"/>
  <c r="J57"/>
  <c r="J56"/>
  <c r="J55"/>
  <c r="J54"/>
  <c r="J53"/>
  <c r="J52"/>
  <c r="J51"/>
  <c r="P51" s="1"/>
  <c r="H49"/>
  <c r="G49"/>
  <c r="F49"/>
  <c r="E49"/>
  <c r="M45"/>
  <c r="G45"/>
  <c r="F45"/>
  <c r="E45"/>
  <c r="D45"/>
  <c r="J40"/>
  <c r="P40" s="1"/>
  <c r="J39"/>
  <c r="P39" s="1"/>
  <c r="J37"/>
  <c r="P37" s="1"/>
  <c r="J36"/>
  <c r="P36" s="1"/>
  <c r="J31"/>
  <c r="I26"/>
  <c r="E28"/>
  <c r="J22"/>
  <c r="J19"/>
  <c r="F10"/>
  <c r="F7"/>
  <c r="Q61"/>
  <c r="R61" s="1"/>
  <c r="Q70"/>
  <c r="R70" s="1"/>
  <c r="Q76"/>
  <c r="R76" s="1"/>
  <c r="J113" i="2"/>
  <c r="J112"/>
  <c r="J111"/>
  <c r="J110"/>
  <c r="M117" i="19"/>
  <c r="Q117"/>
  <c r="U117"/>
  <c r="AC117" s="1"/>
  <c r="Y117"/>
  <c r="AG117"/>
  <c r="M118"/>
  <c r="Q118"/>
  <c r="U118"/>
  <c r="Y118"/>
  <c r="AG118"/>
  <c r="M119"/>
  <c r="AC119" s="1"/>
  <c r="Q119"/>
  <c r="U119"/>
  <c r="Y119"/>
  <c r="AG119"/>
  <c r="M120"/>
  <c r="Q120"/>
  <c r="U120"/>
  <c r="Y120"/>
  <c r="AC120"/>
  <c r="AG120"/>
  <c r="M121"/>
  <c r="Q121"/>
  <c r="U121"/>
  <c r="Y121"/>
  <c r="AC121"/>
  <c r="AG121"/>
  <c r="M122"/>
  <c r="Q122"/>
  <c r="U122"/>
  <c r="AC122" s="1"/>
  <c r="Y122"/>
  <c r="AG122"/>
  <c r="M123"/>
  <c r="AC123" s="1"/>
  <c r="M125"/>
  <c r="AC125" s="1"/>
  <c r="Q125"/>
  <c r="U125"/>
  <c r="Y125"/>
  <c r="AG125"/>
  <c r="M126"/>
  <c r="AC126" s="1"/>
  <c r="Q126"/>
  <c r="U126"/>
  <c r="Y126"/>
  <c r="AG126"/>
  <c r="AF116"/>
  <c r="AE116"/>
  <c r="AD116"/>
  <c r="AB116"/>
  <c r="AA116"/>
  <c r="Z116"/>
  <c r="X116"/>
  <c r="W116"/>
  <c r="V116"/>
  <c r="T116"/>
  <c r="S116"/>
  <c r="R116"/>
  <c r="P116"/>
  <c r="O116"/>
  <c r="N116"/>
  <c r="L116"/>
  <c r="K116"/>
  <c r="J116"/>
  <c r="I116"/>
  <c r="B116"/>
  <c r="AC118" l="1"/>
  <c r="J11" i="21"/>
  <c r="P11" s="1"/>
  <c r="J12"/>
  <c r="P12" s="1"/>
  <c r="H45"/>
  <c r="J66"/>
  <c r="D61"/>
  <c r="J61" s="1"/>
  <c r="J63"/>
  <c r="F60"/>
  <c r="AO97" i="19"/>
  <c r="AO96"/>
  <c r="AO95"/>
  <c r="AO94"/>
  <c r="AO93"/>
  <c r="AO92"/>
  <c r="AO44"/>
  <c r="AP97" l="1"/>
  <c r="AP96"/>
  <c r="AP95"/>
  <c r="AP94"/>
  <c r="AP93"/>
  <c r="AP92"/>
  <c r="AP89"/>
  <c r="AP56"/>
  <c r="AP55"/>
  <c r="AP88" l="1"/>
  <c r="AG116" l="1"/>
  <c r="Y116"/>
  <c r="H116"/>
  <c r="AG115"/>
  <c r="Y115"/>
  <c r="AM49" s="1"/>
  <c r="Q115"/>
  <c r="M115"/>
  <c r="H115"/>
  <c r="AG114"/>
  <c r="M114"/>
  <c r="AL46" s="1"/>
  <c r="H114"/>
  <c r="AG113"/>
  <c r="H113"/>
  <c r="AG112"/>
  <c r="H112"/>
  <c r="AG111"/>
  <c r="Q111"/>
  <c r="H111"/>
  <c r="AG110"/>
  <c r="H110"/>
  <c r="AM109"/>
  <c r="AL109"/>
  <c r="AK109"/>
  <c r="AG109"/>
  <c r="AF109"/>
  <c r="AE109"/>
  <c r="AD109"/>
  <c r="AB109"/>
  <c r="AA109"/>
  <c r="Z109"/>
  <c r="X109"/>
  <c r="W109"/>
  <c r="V109"/>
  <c r="T109"/>
  <c r="S109"/>
  <c r="R109"/>
  <c r="P109"/>
  <c r="O109"/>
  <c r="N109"/>
  <c r="L109"/>
  <c r="K109"/>
  <c r="J109"/>
  <c r="I109"/>
  <c r="H109"/>
  <c r="G109"/>
  <c r="F109"/>
  <c r="E109"/>
  <c r="D109"/>
  <c r="C109"/>
  <c r="AG108"/>
  <c r="Y108"/>
  <c r="Q108"/>
  <c r="H108"/>
  <c r="AG107"/>
  <c r="H107"/>
  <c r="AG106"/>
  <c r="Y106"/>
  <c r="Q106"/>
  <c r="H106"/>
  <c r="AG105"/>
  <c r="H105"/>
  <c r="AG104"/>
  <c r="Y104"/>
  <c r="Q104"/>
  <c r="H104"/>
  <c r="AG103"/>
  <c r="H103"/>
  <c r="AM102"/>
  <c r="AL102"/>
  <c r="AK102"/>
  <c r="AF102"/>
  <c r="AE102"/>
  <c r="AE90" s="1"/>
  <c r="AD102"/>
  <c r="AG101"/>
  <c r="Y101"/>
  <c r="U101"/>
  <c r="Q101"/>
  <c r="AC101" s="1"/>
  <c r="AN101" s="1"/>
  <c r="AG100"/>
  <c r="Y100"/>
  <c r="U100"/>
  <c r="Q100"/>
  <c r="AG99"/>
  <c r="AG102" s="1"/>
  <c r="AB102"/>
  <c r="AA102"/>
  <c r="X102"/>
  <c r="W102"/>
  <c r="V102"/>
  <c r="T102"/>
  <c r="S102"/>
  <c r="R102"/>
  <c r="N102"/>
  <c r="L102"/>
  <c r="K102"/>
  <c r="J102"/>
  <c r="I102"/>
  <c r="H99"/>
  <c r="H102" s="1"/>
  <c r="AG98"/>
  <c r="Y98"/>
  <c r="H98"/>
  <c r="AG91"/>
  <c r="Y91"/>
  <c r="U91"/>
  <c r="P90"/>
  <c r="H91"/>
  <c r="AM90"/>
  <c r="AL90"/>
  <c r="AK90"/>
  <c r="AF90"/>
  <c r="AD90"/>
  <c r="O90"/>
  <c r="G90"/>
  <c r="F90"/>
  <c r="E90"/>
  <c r="D90"/>
  <c r="C90"/>
  <c r="AL87"/>
  <c r="AF87"/>
  <c r="AE87"/>
  <c r="AD87"/>
  <c r="Y86"/>
  <c r="Q86"/>
  <c r="H86"/>
  <c r="D59" i="20"/>
  <c r="AG85" i="19"/>
  <c r="H85"/>
  <c r="AG84"/>
  <c r="AG87" s="1"/>
  <c r="AG82" s="1"/>
  <c r="AB87"/>
  <c r="AA87"/>
  <c r="Z87"/>
  <c r="V87"/>
  <c r="T87"/>
  <c r="R87"/>
  <c r="N87"/>
  <c r="L87"/>
  <c r="J87"/>
  <c r="I87"/>
  <c r="H84"/>
  <c r="H87" s="1"/>
  <c r="AG83"/>
  <c r="H83"/>
  <c r="AL82"/>
  <c r="AF82"/>
  <c r="AE82"/>
  <c r="AD82"/>
  <c r="G82"/>
  <c r="F82"/>
  <c r="E82"/>
  <c r="D82"/>
  <c r="C82"/>
  <c r="U81"/>
  <c r="Q81"/>
  <c r="M81"/>
  <c r="AC81" s="1"/>
  <c r="H50" i="17"/>
  <c r="H48"/>
  <c r="U80" i="19"/>
  <c r="Q80"/>
  <c r="M80"/>
  <c r="K50" i="17"/>
  <c r="U79" i="19"/>
  <c r="Q79"/>
  <c r="M79"/>
  <c r="AG78"/>
  <c r="Y78"/>
  <c r="U78"/>
  <c r="Q78"/>
  <c r="H78"/>
  <c r="P77"/>
  <c r="N77"/>
  <c r="AM76"/>
  <c r="AL76"/>
  <c r="AE76"/>
  <c r="AD76"/>
  <c r="AB76"/>
  <c r="AA76"/>
  <c r="Z76"/>
  <c r="X76"/>
  <c r="V76"/>
  <c r="T76"/>
  <c r="R76"/>
  <c r="G76"/>
  <c r="F76"/>
  <c r="E76"/>
  <c r="D76"/>
  <c r="C76"/>
  <c r="B76"/>
  <c r="Y75"/>
  <c r="U75"/>
  <c r="Q75"/>
  <c r="H75"/>
  <c r="W76"/>
  <c r="S76"/>
  <c r="O76"/>
  <c r="L76"/>
  <c r="J76"/>
  <c r="I76"/>
  <c r="H74"/>
  <c r="H76" s="1"/>
  <c r="AM73"/>
  <c r="AM77" s="1"/>
  <c r="AL73"/>
  <c r="AL77" s="1"/>
  <c r="AE73"/>
  <c r="AE77" s="1"/>
  <c r="AD73"/>
  <c r="AD77" s="1"/>
  <c r="AB73"/>
  <c r="AB77" s="1"/>
  <c r="AA73"/>
  <c r="AA77" s="1"/>
  <c r="Z73"/>
  <c r="Z77" s="1"/>
  <c r="X73"/>
  <c r="X77" s="1"/>
  <c r="X58" s="1"/>
  <c r="V73"/>
  <c r="V77" s="1"/>
  <c r="T73"/>
  <c r="T77" s="1"/>
  <c r="T58" s="1"/>
  <c r="R73"/>
  <c r="R77" s="1"/>
  <c r="G73"/>
  <c r="G77" s="1"/>
  <c r="F73"/>
  <c r="F77" s="1"/>
  <c r="E73"/>
  <c r="E77" s="1"/>
  <c r="D73"/>
  <c r="D77" s="1"/>
  <c r="C73"/>
  <c r="B73"/>
  <c r="B77" s="1"/>
  <c r="Y72"/>
  <c r="U72"/>
  <c r="Q72"/>
  <c r="H72"/>
  <c r="Y71"/>
  <c r="U71"/>
  <c r="Q71"/>
  <c r="H71"/>
  <c r="AG70"/>
  <c r="D53" i="18"/>
  <c r="Y70" i="19"/>
  <c r="U70"/>
  <c r="Q70"/>
  <c r="H70"/>
  <c r="Y69"/>
  <c r="S73"/>
  <c r="L73"/>
  <c r="K73"/>
  <c r="K77" s="1"/>
  <c r="I73"/>
  <c r="H69"/>
  <c r="H73" s="1"/>
  <c r="H77" s="1"/>
  <c r="AF68"/>
  <c r="AB68"/>
  <c r="AA68"/>
  <c r="X68"/>
  <c r="W68"/>
  <c r="T68"/>
  <c r="S68"/>
  <c r="P68"/>
  <c r="O68"/>
  <c r="AM67"/>
  <c r="AL67"/>
  <c r="AD67"/>
  <c r="Y66"/>
  <c r="U66"/>
  <c r="Q66"/>
  <c r="Y65"/>
  <c r="U65"/>
  <c r="Q65"/>
  <c r="V67"/>
  <c r="Y67" s="1"/>
  <c r="R67"/>
  <c r="U67" s="1"/>
  <c r="N67"/>
  <c r="Q67" s="1"/>
  <c r="L67"/>
  <c r="K67"/>
  <c r="J67"/>
  <c r="I67"/>
  <c r="AM63"/>
  <c r="AM68" s="1"/>
  <c r="AM58" s="1"/>
  <c r="AL63"/>
  <c r="AL68" s="1"/>
  <c r="AL58" s="1"/>
  <c r="AL57" s="1"/>
  <c r="AD63"/>
  <c r="AD68" s="1"/>
  <c r="Y62"/>
  <c r="U62"/>
  <c r="Q62"/>
  <c r="E44" i="26"/>
  <c r="Y61" i="19"/>
  <c r="U61"/>
  <c r="Q61"/>
  <c r="D44" i="26"/>
  <c r="Y60" i="19"/>
  <c r="U60"/>
  <c r="Q60"/>
  <c r="AG59"/>
  <c r="Z63"/>
  <c r="Z68" s="1"/>
  <c r="V63"/>
  <c r="R63"/>
  <c r="N63"/>
  <c r="L63"/>
  <c r="L68" s="1"/>
  <c r="K63"/>
  <c r="K68" s="1"/>
  <c r="K58" s="1"/>
  <c r="J63"/>
  <c r="I63"/>
  <c r="B63"/>
  <c r="P58"/>
  <c r="AN53"/>
  <c r="AM52"/>
  <c r="AL52"/>
  <c r="AK52"/>
  <c r="AF52"/>
  <c r="AE52"/>
  <c r="AD52"/>
  <c r="AA52"/>
  <c r="Z52"/>
  <c r="Y52"/>
  <c r="V52"/>
  <c r="U52"/>
  <c r="R52"/>
  <c r="Q52"/>
  <c r="N52"/>
  <c r="M52"/>
  <c r="L52"/>
  <c r="K52"/>
  <c r="J52"/>
  <c r="I52"/>
  <c r="H52"/>
  <c r="B52"/>
  <c r="AM51"/>
  <c r="AL51"/>
  <c r="AK51"/>
  <c r="AF51"/>
  <c r="AE51"/>
  <c r="AD51"/>
  <c r="AG51" s="1"/>
  <c r="AB51"/>
  <c r="AA51"/>
  <c r="Z51"/>
  <c r="Y51"/>
  <c r="V51"/>
  <c r="R51"/>
  <c r="U51" s="1"/>
  <c r="N51"/>
  <c r="Q51" s="1"/>
  <c r="M51"/>
  <c r="L51"/>
  <c r="K51"/>
  <c r="J51"/>
  <c r="I51"/>
  <c r="H51"/>
  <c r="B51"/>
  <c r="AM50"/>
  <c r="AL50"/>
  <c r="AK50"/>
  <c r="AF50"/>
  <c r="AE50"/>
  <c r="AD50"/>
  <c r="AB50"/>
  <c r="AA50"/>
  <c r="Z50"/>
  <c r="Y50"/>
  <c r="V50"/>
  <c r="R50"/>
  <c r="U50" s="1"/>
  <c r="N50"/>
  <c r="Q50" s="1"/>
  <c r="L50"/>
  <c r="K50"/>
  <c r="J50"/>
  <c r="I50"/>
  <c r="H50"/>
  <c r="B50"/>
  <c r="AB49"/>
  <c r="Z49"/>
  <c r="V49"/>
  <c r="R49"/>
  <c r="U49" s="1"/>
  <c r="N49"/>
  <c r="Q49" s="1"/>
  <c r="L49"/>
  <c r="K49"/>
  <c r="I49"/>
  <c r="H49"/>
  <c r="B49"/>
  <c r="V48"/>
  <c r="R48"/>
  <c r="U48" s="1"/>
  <c r="N48"/>
  <c r="Q48" s="1"/>
  <c r="L48"/>
  <c r="K48"/>
  <c r="H48"/>
  <c r="B48"/>
  <c r="AM47"/>
  <c r="AE47"/>
  <c r="AB47"/>
  <c r="Z47"/>
  <c r="V47"/>
  <c r="R47"/>
  <c r="U47" s="1"/>
  <c r="N47"/>
  <c r="Q47" s="1"/>
  <c r="L47"/>
  <c r="K47"/>
  <c r="H47"/>
  <c r="AM46"/>
  <c r="L46"/>
  <c r="K46"/>
  <c r="H46"/>
  <c r="AM45"/>
  <c r="AL45"/>
  <c r="AK45"/>
  <c r="AF45"/>
  <c r="AE45"/>
  <c r="AD45"/>
  <c r="AB45"/>
  <c r="AA45"/>
  <c r="Z45"/>
  <c r="Y45"/>
  <c r="V45"/>
  <c r="R45"/>
  <c r="U45" s="1"/>
  <c r="N45"/>
  <c r="Q45" s="1"/>
  <c r="M45"/>
  <c r="L45"/>
  <c r="K45"/>
  <c r="J45"/>
  <c r="I45"/>
  <c r="H45"/>
  <c r="B45"/>
  <c r="AM44"/>
  <c r="AL44"/>
  <c r="AK44"/>
  <c r="AF44"/>
  <c r="AE44"/>
  <c r="AG44" s="1"/>
  <c r="AD44"/>
  <c r="AB44"/>
  <c r="AA44"/>
  <c r="Z44"/>
  <c r="Y44"/>
  <c r="V44"/>
  <c r="U44"/>
  <c r="R44"/>
  <c r="Q44"/>
  <c r="N44"/>
  <c r="M44"/>
  <c r="L44"/>
  <c r="K44"/>
  <c r="J44"/>
  <c r="I44"/>
  <c r="H44"/>
  <c r="B44"/>
  <c r="AM43"/>
  <c r="AL43"/>
  <c r="AK43"/>
  <c r="AF43"/>
  <c r="AE43"/>
  <c r="AD43"/>
  <c r="AB43"/>
  <c r="AA43"/>
  <c r="Z43"/>
  <c r="Y43"/>
  <c r="V43"/>
  <c r="R43"/>
  <c r="U43" s="1"/>
  <c r="N43"/>
  <c r="Q43" s="1"/>
  <c r="L43"/>
  <c r="K43"/>
  <c r="J43"/>
  <c r="I43"/>
  <c r="H43"/>
  <c r="B43"/>
  <c r="X42"/>
  <c r="W42"/>
  <c r="T42"/>
  <c r="S42"/>
  <c r="P42"/>
  <c r="O42"/>
  <c r="L42"/>
  <c r="K42"/>
  <c r="H42"/>
  <c r="G42"/>
  <c r="F42"/>
  <c r="E42"/>
  <c r="D42"/>
  <c r="C42"/>
  <c r="AK40"/>
  <c r="AG40"/>
  <c r="Y40"/>
  <c r="U40"/>
  <c r="Q40"/>
  <c r="M40"/>
  <c r="H40"/>
  <c r="AG39"/>
  <c r="Y39"/>
  <c r="U39"/>
  <c r="Q39"/>
  <c r="M39"/>
  <c r="H39"/>
  <c r="AC39" s="1"/>
  <c r="O57" i="21"/>
  <c r="AG38" i="19"/>
  <c r="Y38"/>
  <c r="U38"/>
  <c r="Q38"/>
  <c r="M38"/>
  <c r="H38"/>
  <c r="AC38" s="1"/>
  <c r="AG37"/>
  <c r="Y37"/>
  <c r="U37"/>
  <c r="Q37"/>
  <c r="M37"/>
  <c r="H37"/>
  <c r="AC37" s="1"/>
  <c r="O55" i="21"/>
  <c r="AG36" i="19"/>
  <c r="Y36"/>
  <c r="U36"/>
  <c r="Q36"/>
  <c r="M36"/>
  <c r="H36"/>
  <c r="AC36" s="1"/>
  <c r="O54" i="21"/>
  <c r="AG35" i="19"/>
  <c r="Y35"/>
  <c r="U35"/>
  <c r="Q35"/>
  <c r="M35"/>
  <c r="H35"/>
  <c r="O53" i="21"/>
  <c r="AG34" i="19"/>
  <c r="Y34"/>
  <c r="U34"/>
  <c r="Q34"/>
  <c r="M34"/>
  <c r="H34"/>
  <c r="AC34" s="1"/>
  <c r="O52" i="21"/>
  <c r="AG33" i="19"/>
  <c r="L52" i="21" s="1"/>
  <c r="Y33" i="19"/>
  <c r="U33"/>
  <c r="Q33"/>
  <c r="M33"/>
  <c r="H33"/>
  <c r="AC33" s="1"/>
  <c r="K52" i="21" s="1"/>
  <c r="AG32" i="19"/>
  <c r="Y32"/>
  <c r="U32"/>
  <c r="Q32"/>
  <c r="M32"/>
  <c r="H32"/>
  <c r="AC32" s="1"/>
  <c r="O50" i="21"/>
  <c r="M50"/>
  <c r="M49" s="1"/>
  <c r="N50"/>
  <c r="AG31" i="19"/>
  <c r="U31"/>
  <c r="M31"/>
  <c r="M30" s="1"/>
  <c r="H31"/>
  <c r="AM30"/>
  <c r="AL30"/>
  <c r="AI30"/>
  <c r="AH30"/>
  <c r="AF30"/>
  <c r="AD30"/>
  <c r="AB30"/>
  <c r="AA30"/>
  <c r="Z30"/>
  <c r="X30"/>
  <c r="W30"/>
  <c r="V30"/>
  <c r="T30"/>
  <c r="S30"/>
  <c r="R30"/>
  <c r="P30"/>
  <c r="O30"/>
  <c r="N30"/>
  <c r="L30"/>
  <c r="K30"/>
  <c r="J30"/>
  <c r="I30"/>
  <c r="H30"/>
  <c r="B30"/>
  <c r="O48" i="21"/>
  <c r="Y29" i="19"/>
  <c r="U29"/>
  <c r="Q29"/>
  <c r="M29"/>
  <c r="H29"/>
  <c r="Y28"/>
  <c r="U28"/>
  <c r="Q28"/>
  <c r="H28"/>
  <c r="O46" i="21"/>
  <c r="O45" s="1"/>
  <c r="AI26" i="19"/>
  <c r="AF26"/>
  <c r="AG27"/>
  <c r="AA26"/>
  <c r="Y27"/>
  <c r="Y26" s="1"/>
  <c r="S26"/>
  <c r="Q27"/>
  <c r="Q26" s="1"/>
  <c r="M27"/>
  <c r="I26"/>
  <c r="H27"/>
  <c r="B26"/>
  <c r="AL26"/>
  <c r="AJ26"/>
  <c r="AH26"/>
  <c r="AE26"/>
  <c r="AB26"/>
  <c r="Z26"/>
  <c r="X26"/>
  <c r="W26"/>
  <c r="V26"/>
  <c r="T26"/>
  <c r="R26"/>
  <c r="P26"/>
  <c r="O26"/>
  <c r="L26"/>
  <c r="K26"/>
  <c r="J26"/>
  <c r="H26"/>
  <c r="H25"/>
  <c r="H24"/>
  <c r="O42" i="21"/>
  <c r="M42"/>
  <c r="AG23" i="19"/>
  <c r="L42" i="21" s="1"/>
  <c r="Y23" i="19"/>
  <c r="Q23"/>
  <c r="H23"/>
  <c r="O41" i="21"/>
  <c r="M41"/>
  <c r="M7" s="1"/>
  <c r="H22" i="19"/>
  <c r="AG21"/>
  <c r="L32" i="21" s="1"/>
  <c r="Y21" i="19"/>
  <c r="U21"/>
  <c r="Q21"/>
  <c r="H21"/>
  <c r="AJ20"/>
  <c r="H20"/>
  <c r="AG19"/>
  <c r="L30" i="21" s="1"/>
  <c r="Y19" i="19"/>
  <c r="U19"/>
  <c r="Q19"/>
  <c r="H19"/>
  <c r="AG18"/>
  <c r="Y18"/>
  <c r="Y20" s="1"/>
  <c r="U18"/>
  <c r="Q18"/>
  <c r="Q20" s="1"/>
  <c r="H18"/>
  <c r="H17"/>
  <c r="AK16"/>
  <c r="AG16"/>
  <c r="L27" i="21" s="1"/>
  <c r="Y16" i="19"/>
  <c r="U16"/>
  <c r="Q16"/>
  <c r="H16"/>
  <c r="AK15"/>
  <c r="AG15"/>
  <c r="L26" i="21" s="1"/>
  <c r="Y15" i="19"/>
  <c r="Y17" s="1"/>
  <c r="U15"/>
  <c r="U17" s="1"/>
  <c r="Q15"/>
  <c r="Q17" s="1"/>
  <c r="H15"/>
  <c r="AI14"/>
  <c r="H14"/>
  <c r="AI5"/>
  <c r="AG13"/>
  <c r="Z5"/>
  <c r="Y13"/>
  <c r="U13"/>
  <c r="Q13"/>
  <c r="H13"/>
  <c r="AG12"/>
  <c r="AG14" s="1"/>
  <c r="AA5"/>
  <c r="Y12"/>
  <c r="Y14" s="1"/>
  <c r="U12"/>
  <c r="Q12"/>
  <c r="Q14" s="1"/>
  <c r="H12"/>
  <c r="H11"/>
  <c r="AK10"/>
  <c r="AG10"/>
  <c r="L21" i="21" s="1"/>
  <c r="U10" i="19"/>
  <c r="Q10"/>
  <c r="M10"/>
  <c r="H10"/>
  <c r="AK9"/>
  <c r="U9"/>
  <c r="U11" s="1"/>
  <c r="Q9"/>
  <c r="Q11" s="1"/>
  <c r="M9"/>
  <c r="H9"/>
  <c r="H8"/>
  <c r="AK7"/>
  <c r="AG7"/>
  <c r="Y7"/>
  <c r="U7"/>
  <c r="N55"/>
  <c r="H7"/>
  <c r="AK6"/>
  <c r="AG6"/>
  <c r="AG8" s="1"/>
  <c r="Y6"/>
  <c r="Y8" s="1"/>
  <c r="U6"/>
  <c r="U8" s="1"/>
  <c r="H6"/>
  <c r="AM5"/>
  <c r="AL5"/>
  <c r="AH5"/>
  <c r="AF5"/>
  <c r="AD5"/>
  <c r="AB5"/>
  <c r="AB41" s="1"/>
  <c r="T5"/>
  <c r="T41" s="1"/>
  <c r="T54" s="1"/>
  <c r="T56" s="1"/>
  <c r="S5"/>
  <c r="R5"/>
  <c r="I5"/>
  <c r="H5"/>
  <c r="H41" s="1"/>
  <c r="H54" s="1"/>
  <c r="G5"/>
  <c r="G41" s="1"/>
  <c r="G54" s="1"/>
  <c r="G68" s="1"/>
  <c r="G58" s="1"/>
  <c r="G57" s="1"/>
  <c r="F5"/>
  <c r="F41" s="1"/>
  <c r="F54" s="1"/>
  <c r="F68" s="1"/>
  <c r="F58" s="1"/>
  <c r="F57" s="1"/>
  <c r="E5"/>
  <c r="E41" s="1"/>
  <c r="E54" s="1"/>
  <c r="E68" s="1"/>
  <c r="E58" s="1"/>
  <c r="E57" s="1"/>
  <c r="D5"/>
  <c r="D41" s="1"/>
  <c r="D54" s="1"/>
  <c r="D68" s="1"/>
  <c r="D58" s="1"/>
  <c r="D57" s="1"/>
  <c r="C5"/>
  <c r="C41" s="1"/>
  <c r="C54" s="1"/>
  <c r="C68" s="1"/>
  <c r="C58" s="1"/>
  <c r="C57" s="1"/>
  <c r="B5"/>
  <c r="J18" i="26"/>
  <c r="I18"/>
  <c r="K48"/>
  <c r="L48" s="1"/>
  <c r="N48" s="1"/>
  <c r="G48"/>
  <c r="K42"/>
  <c r="G42"/>
  <c r="K41"/>
  <c r="G41"/>
  <c r="K40"/>
  <c r="G40"/>
  <c r="K39"/>
  <c r="G39"/>
  <c r="K38"/>
  <c r="G38"/>
  <c r="K37"/>
  <c r="K36" s="1"/>
  <c r="G37"/>
  <c r="J36"/>
  <c r="I36"/>
  <c r="H36"/>
  <c r="F36"/>
  <c r="E36"/>
  <c r="D36"/>
  <c r="C36"/>
  <c r="K34"/>
  <c r="G34"/>
  <c r="K33"/>
  <c r="G33"/>
  <c r="K32"/>
  <c r="G32"/>
  <c r="K31"/>
  <c r="G31"/>
  <c r="K30"/>
  <c r="G30"/>
  <c r="J29"/>
  <c r="I29"/>
  <c r="H29"/>
  <c r="F29"/>
  <c r="E29"/>
  <c r="D29"/>
  <c r="C29"/>
  <c r="K28"/>
  <c r="G28"/>
  <c r="K27"/>
  <c r="G27"/>
  <c r="K26"/>
  <c r="K25" s="1"/>
  <c r="G26"/>
  <c r="J25"/>
  <c r="I25"/>
  <c r="H25"/>
  <c r="F25"/>
  <c r="E25"/>
  <c r="D25"/>
  <c r="C25"/>
  <c r="K23"/>
  <c r="G24"/>
  <c r="K22"/>
  <c r="G22"/>
  <c r="K21"/>
  <c r="G21"/>
  <c r="K20"/>
  <c r="G20"/>
  <c r="K19"/>
  <c r="G19"/>
  <c r="I17"/>
  <c r="F17"/>
  <c r="K16"/>
  <c r="G16"/>
  <c r="K15"/>
  <c r="K17" s="1"/>
  <c r="G15"/>
  <c r="G17" s="1"/>
  <c r="O49" i="21" l="1"/>
  <c r="Z41" i="19"/>
  <c r="N50" i="17"/>
  <c r="K29" i="26"/>
  <c r="V68" i="19"/>
  <c r="V58" s="1"/>
  <c r="R68"/>
  <c r="R58" s="1"/>
  <c r="J68"/>
  <c r="L16" i="26"/>
  <c r="N16" s="1"/>
  <c r="F71" i="21"/>
  <c r="M50" i="17"/>
  <c r="G71" i="21"/>
  <c r="N67" s="1"/>
  <c r="G69"/>
  <c r="X87" i="19"/>
  <c r="L37" i="26"/>
  <c r="N37" s="1"/>
  <c r="L39"/>
  <c r="N39" s="1"/>
  <c r="L40"/>
  <c r="N40" s="1"/>
  <c r="L41"/>
  <c r="N41" s="1"/>
  <c r="L42"/>
  <c r="N42" s="1"/>
  <c r="C74" i="21"/>
  <c r="L19" i="26"/>
  <c r="G36"/>
  <c r="L36" s="1"/>
  <c r="N36" s="1"/>
  <c r="AI41" i="19"/>
  <c r="U14"/>
  <c r="S77"/>
  <c r="S58" s="1"/>
  <c r="AC80"/>
  <c r="N68"/>
  <c r="N58" s="1"/>
  <c r="AA41"/>
  <c r="Q103"/>
  <c r="Y103"/>
  <c r="Q105"/>
  <c r="Y47" s="1"/>
  <c r="Y105"/>
  <c r="Y49" s="1"/>
  <c r="Q107"/>
  <c r="AA47" s="1"/>
  <c r="Y107"/>
  <c r="AA49" s="1"/>
  <c r="Q110"/>
  <c r="AD47" s="1"/>
  <c r="Y110"/>
  <c r="AD49" s="1"/>
  <c r="U114"/>
  <c r="AL48" s="1"/>
  <c r="O55"/>
  <c r="AF41"/>
  <c r="Y10"/>
  <c r="AK19"/>
  <c r="Q22"/>
  <c r="Y22"/>
  <c r="AG22"/>
  <c r="L41" i="21" s="1"/>
  <c r="Q24" i="19"/>
  <c r="Y24"/>
  <c r="AD26"/>
  <c r="O73"/>
  <c r="O77" s="1"/>
  <c r="O58" s="1"/>
  <c r="Y73"/>
  <c r="L77"/>
  <c r="L58" s="1"/>
  <c r="I77"/>
  <c r="I68"/>
  <c r="AG24"/>
  <c r="L43" i="21" s="1"/>
  <c r="AG43" i="19"/>
  <c r="AG45"/>
  <c r="M69"/>
  <c r="Q69"/>
  <c r="Q73" s="1"/>
  <c r="U69"/>
  <c r="U73" s="1"/>
  <c r="M71"/>
  <c r="AC71" s="1"/>
  <c r="AA58"/>
  <c r="Q74"/>
  <c r="Q76" s="1"/>
  <c r="U74"/>
  <c r="U76" s="1"/>
  <c r="Y74"/>
  <c r="Y76" s="1"/>
  <c r="Q83"/>
  <c r="Y83"/>
  <c r="Q85"/>
  <c r="Y85"/>
  <c r="M86"/>
  <c r="M91"/>
  <c r="B46" s="1"/>
  <c r="Z102"/>
  <c r="M50" s="1"/>
  <c r="AC100"/>
  <c r="AN100" s="1"/>
  <c r="P55"/>
  <c r="AC29"/>
  <c r="K48" i="21" s="1"/>
  <c r="AG29" i="19"/>
  <c r="N48" i="21"/>
  <c r="Y55" i="19"/>
  <c r="Y59"/>
  <c r="AB58"/>
  <c r="AG80"/>
  <c r="H82"/>
  <c r="Q84"/>
  <c r="Y84"/>
  <c r="Y111"/>
  <c r="AE49" s="1"/>
  <c r="Q112"/>
  <c r="AF47" s="1"/>
  <c r="AG47" s="1"/>
  <c r="Y112"/>
  <c r="AF49" s="1"/>
  <c r="Q113"/>
  <c r="AK47" s="1"/>
  <c r="Y113"/>
  <c r="AK49" s="1"/>
  <c r="N5"/>
  <c r="M12"/>
  <c r="M44" i="21"/>
  <c r="M43"/>
  <c r="L46"/>
  <c r="L45" s="1"/>
  <c r="AG30" i="19"/>
  <c r="L50" i="21"/>
  <c r="L49" s="1"/>
  <c r="AF73" i="19"/>
  <c r="C53" i="18"/>
  <c r="AG71" i="19"/>
  <c r="E53" i="18"/>
  <c r="AG72" i="19"/>
  <c r="F53" i="18"/>
  <c r="AF76" i="19"/>
  <c r="H53" i="18"/>
  <c r="AG75" i="19"/>
  <c r="I53" i="18"/>
  <c r="B41" i="19"/>
  <c r="U30"/>
  <c r="AG60"/>
  <c r="AG61"/>
  <c r="M67"/>
  <c r="M65"/>
  <c r="M66"/>
  <c r="W73"/>
  <c r="W77" s="1"/>
  <c r="W58" s="1"/>
  <c r="M70"/>
  <c r="M72"/>
  <c r="M75"/>
  <c r="M78"/>
  <c r="AC78" s="1"/>
  <c r="I82"/>
  <c r="M84"/>
  <c r="P82"/>
  <c r="P57" s="1"/>
  <c r="U84"/>
  <c r="X82"/>
  <c r="AA82"/>
  <c r="U86"/>
  <c r="M98"/>
  <c r="I46" s="1"/>
  <c r="U98"/>
  <c r="I48" s="1"/>
  <c r="J90"/>
  <c r="L90"/>
  <c r="R90"/>
  <c r="T90"/>
  <c r="W90"/>
  <c r="Z90"/>
  <c r="AB90"/>
  <c r="M103"/>
  <c r="N46" s="1"/>
  <c r="U103"/>
  <c r="M104"/>
  <c r="U46" s="1"/>
  <c r="U42" s="1"/>
  <c r="U104"/>
  <c r="M105"/>
  <c r="U105"/>
  <c r="Y48" s="1"/>
  <c r="M106"/>
  <c r="Z46" s="1"/>
  <c r="U106"/>
  <c r="Z48" s="1"/>
  <c r="M107"/>
  <c r="AA46" s="1"/>
  <c r="U107"/>
  <c r="AA48" s="1"/>
  <c r="M108"/>
  <c r="AB46" s="1"/>
  <c r="U108"/>
  <c r="AB48" s="1"/>
  <c r="M110"/>
  <c r="U110"/>
  <c r="M111"/>
  <c r="AE46" s="1"/>
  <c r="U111"/>
  <c r="AE48" s="1"/>
  <c r="M112"/>
  <c r="AF46" s="1"/>
  <c r="U112"/>
  <c r="AF48" s="1"/>
  <c r="M113"/>
  <c r="AK46" s="1"/>
  <c r="U113"/>
  <c r="AK48" s="1"/>
  <c r="Q114"/>
  <c r="AL47" s="1"/>
  <c r="Y114"/>
  <c r="AL49" s="1"/>
  <c r="U115"/>
  <c r="AM48" s="1"/>
  <c r="AM42" s="1"/>
  <c r="O68" i="21" s="1"/>
  <c r="K77" s="1"/>
  <c r="AG20" i="19"/>
  <c r="L29" i="21"/>
  <c r="L31" s="1"/>
  <c r="O44"/>
  <c r="O43"/>
  <c r="C44" i="26"/>
  <c r="AG64" i="19"/>
  <c r="H44" i="26"/>
  <c r="AG65" i="19"/>
  <c r="I44" i="26"/>
  <c r="AG66" i="19"/>
  <c r="J44" i="26"/>
  <c r="AG79" i="19"/>
  <c r="K48" i="17"/>
  <c r="N48" s="1"/>
  <c r="AN80" i="19"/>
  <c r="H47" i="17"/>
  <c r="AN81" i="19"/>
  <c r="H68" i="21"/>
  <c r="AM87" i="19"/>
  <c r="AM82" s="1"/>
  <c r="E59" i="20"/>
  <c r="I41" i="19"/>
  <c r="S41"/>
  <c r="S54" s="1"/>
  <c r="S56" s="1"/>
  <c r="AL41"/>
  <c r="Q55"/>
  <c r="AK12"/>
  <c r="M13"/>
  <c r="AC13" s="1"/>
  <c r="AK13"/>
  <c r="M16"/>
  <c r="AC16" s="1"/>
  <c r="AN16" s="1"/>
  <c r="M19"/>
  <c r="AC19" s="1"/>
  <c r="AN19" s="1"/>
  <c r="M21"/>
  <c r="AC21" s="1"/>
  <c r="AK21"/>
  <c r="M22"/>
  <c r="U22"/>
  <c r="N41" i="21"/>
  <c r="M23" i="19"/>
  <c r="U23"/>
  <c r="N42" i="21"/>
  <c r="M24" i="19"/>
  <c r="U24"/>
  <c r="N43" i="21"/>
  <c r="N26" i="19"/>
  <c r="AM26"/>
  <c r="U27"/>
  <c r="U26" s="1"/>
  <c r="M28"/>
  <c r="M26" s="1"/>
  <c r="AG28"/>
  <c r="AG26" s="1"/>
  <c r="AK28"/>
  <c r="N47" i="21" s="1"/>
  <c r="AE30" i="19"/>
  <c r="Q31"/>
  <c r="Q30" s="1"/>
  <c r="Y31"/>
  <c r="Y30" s="1"/>
  <c r="M60" i="21"/>
  <c r="AK32" i="19"/>
  <c r="AN32" s="1"/>
  <c r="AK33"/>
  <c r="N52" i="21" s="1"/>
  <c r="N53"/>
  <c r="AK36" i="19"/>
  <c r="AN36" s="1"/>
  <c r="AK37"/>
  <c r="N56" i="21" s="1"/>
  <c r="AK38" i="19"/>
  <c r="AN38" s="1"/>
  <c r="AK39"/>
  <c r="AN39" s="1"/>
  <c r="AC40"/>
  <c r="AG50"/>
  <c r="AG52"/>
  <c r="U55"/>
  <c r="Q59"/>
  <c r="Q63" s="1"/>
  <c r="Q68" s="1"/>
  <c r="U59"/>
  <c r="U63" s="1"/>
  <c r="U68" s="1"/>
  <c r="Y63"/>
  <c r="Y68" s="1"/>
  <c r="M83"/>
  <c r="U83"/>
  <c r="L82"/>
  <c r="T82"/>
  <c r="T57" s="1"/>
  <c r="Z82"/>
  <c r="AB82"/>
  <c r="M85"/>
  <c r="U85"/>
  <c r="Q91"/>
  <c r="B47" s="1"/>
  <c r="B42" s="1"/>
  <c r="Q98"/>
  <c r="I47" s="1"/>
  <c r="I90"/>
  <c r="K90"/>
  <c r="N90"/>
  <c r="S90"/>
  <c r="V90"/>
  <c r="X90"/>
  <c r="AA90"/>
  <c r="AA57" s="1"/>
  <c r="AC110"/>
  <c r="AN110" s="1"/>
  <c r="AC44"/>
  <c r="AN44" s="1"/>
  <c r="AP44" s="1"/>
  <c r="AC45"/>
  <c r="AN45" s="1"/>
  <c r="AC50"/>
  <c r="AN50" s="1"/>
  <c r="AC51"/>
  <c r="AN51" s="1"/>
  <c r="AC52"/>
  <c r="AN52" s="1"/>
  <c r="AG90"/>
  <c r="H90"/>
  <c r="M11"/>
  <c r="AC10"/>
  <c r="AN10" s="1"/>
  <c r="AC12"/>
  <c r="AC27"/>
  <c r="K46" i="21" s="1"/>
  <c r="AC31" i="19"/>
  <c r="K50" i="21" s="1"/>
  <c r="AG17" i="19"/>
  <c r="U5"/>
  <c r="U20"/>
  <c r="AC35"/>
  <c r="AD58"/>
  <c r="AD57" s="1"/>
  <c r="J82"/>
  <c r="R82"/>
  <c r="M25"/>
  <c r="Q25"/>
  <c r="U25"/>
  <c r="Y25"/>
  <c r="AG25"/>
  <c r="L44" i="21" s="1"/>
  <c r="N44"/>
  <c r="AG67" i="19"/>
  <c r="AC70"/>
  <c r="AC72"/>
  <c r="AC75"/>
  <c r="AC79"/>
  <c r="AC86"/>
  <c r="E50" i="20" s="1"/>
  <c r="AC98" i="19"/>
  <c r="AN98" s="1"/>
  <c r="AC104"/>
  <c r="AN104" s="1"/>
  <c r="AC111"/>
  <c r="AN111" s="1"/>
  <c r="AC114"/>
  <c r="AN114" s="1"/>
  <c r="N82"/>
  <c r="V82"/>
  <c r="Q7"/>
  <c r="AC115"/>
  <c r="AN115" s="1"/>
  <c r="M63"/>
  <c r="M68" s="1"/>
  <c r="B67"/>
  <c r="B68" s="1"/>
  <c r="AE67"/>
  <c r="AC69"/>
  <c r="AG69"/>
  <c r="AG73" s="1"/>
  <c r="J73"/>
  <c r="J77" s="1"/>
  <c r="J58" s="1"/>
  <c r="AG74"/>
  <c r="AG76" s="1"/>
  <c r="B87"/>
  <c r="B82" s="1"/>
  <c r="K87"/>
  <c r="K82" s="1"/>
  <c r="O82"/>
  <c r="O57" s="1"/>
  <c r="S87"/>
  <c r="S82" s="1"/>
  <c r="W87"/>
  <c r="W82" s="1"/>
  <c r="B102"/>
  <c r="M64"/>
  <c r="Q64"/>
  <c r="U64"/>
  <c r="Y64"/>
  <c r="M74"/>
  <c r="M76" s="1"/>
  <c r="M99"/>
  <c r="Q99"/>
  <c r="U99"/>
  <c r="Y99"/>
  <c r="L31" i="26"/>
  <c r="L32"/>
  <c r="L33"/>
  <c r="L34"/>
  <c r="L27"/>
  <c r="L28"/>
  <c r="L21"/>
  <c r="G25"/>
  <c r="L26"/>
  <c r="G29"/>
  <c r="L29" s="1"/>
  <c r="L30"/>
  <c r="L20"/>
  <c r="L22"/>
  <c r="L15"/>
  <c r="N15" s="1"/>
  <c r="K24"/>
  <c r="L24" s="1"/>
  <c r="L38"/>
  <c r="N38" s="1"/>
  <c r="G23"/>
  <c r="L23" s="1"/>
  <c r="AN21" i="19" l="1"/>
  <c r="AC24"/>
  <c r="K43" i="21" s="1"/>
  <c r="AC106" i="19"/>
  <c r="AN106" s="1"/>
  <c r="AC103"/>
  <c r="AN103" s="1"/>
  <c r="L57"/>
  <c r="AK14"/>
  <c r="AN40"/>
  <c r="K59" i="21"/>
  <c r="M14" i="19"/>
  <c r="AN24"/>
  <c r="I58"/>
  <c r="M73"/>
  <c r="M77" s="1"/>
  <c r="M58" s="1"/>
  <c r="F69" i="21"/>
  <c r="G68"/>
  <c r="C48"/>
  <c r="C50"/>
  <c r="L17" i="26"/>
  <c r="N17" s="1"/>
  <c r="C16" i="21"/>
  <c r="C59"/>
  <c r="C43"/>
  <c r="C44"/>
  <c r="C42"/>
  <c r="C41"/>
  <c r="C47"/>
  <c r="J47" s="1"/>
  <c r="C15"/>
  <c r="J15" s="1"/>
  <c r="P15" s="1"/>
  <c r="L25" i="26"/>
  <c r="C46" i="21"/>
  <c r="AB57" i="19"/>
  <c r="Y77"/>
  <c r="Y58" s="1"/>
  <c r="W57"/>
  <c r="AC113"/>
  <c r="AN113" s="1"/>
  <c r="AC112"/>
  <c r="AN112" s="1"/>
  <c r="AC83"/>
  <c r="B50" i="20" s="1"/>
  <c r="S57" i="19"/>
  <c r="AL42"/>
  <c r="M68" i="21" s="1"/>
  <c r="M70" s="1"/>
  <c r="M73" s="1"/>
  <c r="AK42" i="19"/>
  <c r="N68" i="21" s="1"/>
  <c r="K71" s="1"/>
  <c r="AC105" i="19"/>
  <c r="AN105" s="1"/>
  <c r="AG49"/>
  <c r="O5"/>
  <c r="O41" s="1"/>
  <c r="O54" s="1"/>
  <c r="O56" s="1"/>
  <c r="AC108"/>
  <c r="AN108" s="1"/>
  <c r="AC107"/>
  <c r="AN107" s="1"/>
  <c r="R42"/>
  <c r="V57"/>
  <c r="AC85"/>
  <c r="D50" i="20" s="1"/>
  <c r="AN34" i="19"/>
  <c r="AN33"/>
  <c r="P52" i="21" s="1"/>
  <c r="AC28" i="19"/>
  <c r="AC23"/>
  <c r="AF42"/>
  <c r="AF54" s="1"/>
  <c r="L64" i="21" s="1"/>
  <c r="AB42" i="19"/>
  <c r="AB54" s="1"/>
  <c r="AA42"/>
  <c r="AA54" s="1"/>
  <c r="Z42"/>
  <c r="Z54" s="1"/>
  <c r="Q109"/>
  <c r="AN29"/>
  <c r="U77"/>
  <c r="U58" s="1"/>
  <c r="X5"/>
  <c r="X41" s="1"/>
  <c r="X54" s="1"/>
  <c r="X56" s="1"/>
  <c r="AC22"/>
  <c r="AN13"/>
  <c r="K24" i="21" s="1"/>
  <c r="I42" i="19"/>
  <c r="I54" s="1"/>
  <c r="AC84"/>
  <c r="C50" i="20" s="1"/>
  <c r="Y109" i="19"/>
  <c r="Q77"/>
  <c r="Q58" s="1"/>
  <c r="P57" i="21"/>
  <c r="P55"/>
  <c r="P58"/>
  <c r="AN109" i="19"/>
  <c r="AN79"/>
  <c r="K47" i="17"/>
  <c r="N47" s="1"/>
  <c r="K32" i="21"/>
  <c r="K21"/>
  <c r="P21" s="1"/>
  <c r="P53"/>
  <c r="K27"/>
  <c r="V5" i="19"/>
  <c r="V41" s="1"/>
  <c r="H84" i="21"/>
  <c r="H70"/>
  <c r="AE42" i="19"/>
  <c r="M109"/>
  <c r="AD46"/>
  <c r="AG46" s="1"/>
  <c r="V46"/>
  <c r="V42" s="1"/>
  <c r="Y46"/>
  <c r="Y42" s="1"/>
  <c r="Q46"/>
  <c r="Q42" s="1"/>
  <c r="N42"/>
  <c r="AC25"/>
  <c r="K44" i="26"/>
  <c r="B54" i="19"/>
  <c r="AF77"/>
  <c r="AF58" s="1"/>
  <c r="AF57" s="1"/>
  <c r="K30" i="21"/>
  <c r="AK26" i="19"/>
  <c r="N46" i="21"/>
  <c r="N45" s="1"/>
  <c r="AG9" i="19"/>
  <c r="AE5"/>
  <c r="AE41" s="1"/>
  <c r="U109"/>
  <c r="AD48"/>
  <c r="AC109"/>
  <c r="AC91"/>
  <c r="AN91" s="1"/>
  <c r="AN37"/>
  <c r="AG48"/>
  <c r="X57"/>
  <c r="AM41"/>
  <c r="AM54" s="1"/>
  <c r="B58"/>
  <c r="Y102"/>
  <c r="J49"/>
  <c r="Q102"/>
  <c r="J47"/>
  <c r="AN31"/>
  <c r="AC30"/>
  <c r="AC74"/>
  <c r="AG77"/>
  <c r="Y87"/>
  <c r="Y82" s="1"/>
  <c r="Q87"/>
  <c r="Q82" s="1"/>
  <c r="AD41"/>
  <c r="N41"/>
  <c r="N54" s="1"/>
  <c r="R41"/>
  <c r="R54" s="1"/>
  <c r="U102"/>
  <c r="J48"/>
  <c r="M102"/>
  <c r="J46"/>
  <c r="B90"/>
  <c r="M43"/>
  <c r="AC73"/>
  <c r="AC26"/>
  <c r="AN27"/>
  <c r="AN12"/>
  <c r="AC14"/>
  <c r="AC99"/>
  <c r="U87"/>
  <c r="U82" s="1"/>
  <c r="M87"/>
  <c r="M82" s="1"/>
  <c r="AC7"/>
  <c r="K57"/>
  <c r="U41"/>
  <c r="U54" s="1"/>
  <c r="U56" s="1"/>
  <c r="AH41"/>
  <c r="J42" l="1"/>
  <c r="I57"/>
  <c r="C49" i="21"/>
  <c r="AL54" i="19"/>
  <c r="AN28"/>
  <c r="K47" i="21"/>
  <c r="AN25" i="19"/>
  <c r="K44" i="21"/>
  <c r="AN23" i="19"/>
  <c r="K42" i="21"/>
  <c r="F68"/>
  <c r="AN22" i="19"/>
  <c r="K41" i="21"/>
  <c r="C45"/>
  <c r="AE54" i="19"/>
  <c r="L63" i="21" s="1"/>
  <c r="V54" i="19"/>
  <c r="V56" s="1"/>
  <c r="Z56"/>
  <c r="Z58"/>
  <c r="Z57" s="1"/>
  <c r="AC87"/>
  <c r="AC82" s="1"/>
  <c r="AN14"/>
  <c r="K23" i="21"/>
  <c r="P72"/>
  <c r="R72" s="1"/>
  <c r="AG11" i="19"/>
  <c r="L20" i="21"/>
  <c r="L7" s="1"/>
  <c r="L60" s="1"/>
  <c r="AG5" i="19"/>
  <c r="AG41" s="1"/>
  <c r="P47" i="21"/>
  <c r="AG42" i="19"/>
  <c r="L68" i="21" s="1"/>
  <c r="K69" s="1"/>
  <c r="AN26" i="19"/>
  <c r="P56" i="21"/>
  <c r="K67"/>
  <c r="F84"/>
  <c r="F70"/>
  <c r="AD42" i="19"/>
  <c r="AD54" s="1"/>
  <c r="L67" i="21" s="1"/>
  <c r="L79" s="1"/>
  <c r="AC43" i="19"/>
  <c r="R56"/>
  <c r="N56"/>
  <c r="J57"/>
  <c r="AN7"/>
  <c r="AN99"/>
  <c r="AC102"/>
  <c r="AC90" s="1"/>
  <c r="M46"/>
  <c r="AC46" s="1"/>
  <c r="AN46" s="1"/>
  <c r="M90"/>
  <c r="M48"/>
  <c r="AC48" s="1"/>
  <c r="AN48" s="1"/>
  <c r="U90"/>
  <c r="AC76"/>
  <c r="AC77" s="1"/>
  <c r="M47"/>
  <c r="AC47" s="1"/>
  <c r="AN47" s="1"/>
  <c r="Q90"/>
  <c r="M49"/>
  <c r="AC49" s="1"/>
  <c r="AN49" s="1"/>
  <c r="Y90"/>
  <c r="Y57" s="1"/>
  <c r="B57"/>
  <c r="AN102" l="1"/>
  <c r="AN90" s="1"/>
  <c r="K18" i="21"/>
  <c r="L70"/>
  <c r="L73" s="1"/>
  <c r="P69" s="1"/>
  <c r="K45"/>
  <c r="K25"/>
  <c r="AG54" i="19"/>
  <c r="Q116"/>
  <c r="Q57" s="1"/>
  <c r="N57"/>
  <c r="U116"/>
  <c r="U57" s="1"/>
  <c r="R57"/>
  <c r="M42"/>
  <c r="AN43"/>
  <c r="AN42" s="1"/>
  <c r="AC42"/>
  <c r="K68" i="21" l="1"/>
  <c r="L81"/>
  <c r="L84"/>
  <c r="Q108" i="2" l="1"/>
  <c r="P108"/>
  <c r="J12" i="8"/>
  <c r="K12"/>
  <c r="J54"/>
  <c r="J50"/>
  <c r="J78"/>
  <c r="J103" i="2" l="1"/>
  <c r="H113"/>
  <c r="H112"/>
  <c r="H111"/>
  <c r="H110"/>
  <c r="H103"/>
  <c r="F113"/>
  <c r="F112"/>
  <c r="F111"/>
  <c r="F109"/>
  <c r="F110"/>
  <c r="F101"/>
  <c r="T98"/>
  <c r="R98"/>
  <c r="P98"/>
  <c r="N98"/>
  <c r="L98"/>
  <c r="J98"/>
  <c r="H98"/>
  <c r="F98"/>
  <c r="D98"/>
  <c r="D113"/>
  <c r="D112"/>
  <c r="D111"/>
  <c r="D110"/>
  <c r="D109"/>
  <c r="D103"/>
  <c r="D101"/>
  <c r="A114"/>
  <c r="A113"/>
  <c r="A112"/>
  <c r="A111"/>
  <c r="A110"/>
  <c r="A109"/>
  <c r="A103"/>
  <c r="A102"/>
  <c r="A101"/>
  <c r="P65"/>
  <c r="L69"/>
  <c r="M69"/>
  <c r="M70"/>
  <c r="L71"/>
  <c r="L72" s="1"/>
  <c r="M71"/>
  <c r="N71"/>
  <c r="O71"/>
  <c r="P71"/>
  <c r="AC17" l="1"/>
  <c r="AC14"/>
  <c r="K5" i="17" l="1"/>
  <c r="N5" s="1"/>
  <c r="AI17" i="2"/>
  <c r="AH17"/>
  <c r="AG17"/>
  <c r="AF17"/>
  <c r="AE17" s="1"/>
  <c r="AD17" s="1"/>
  <c r="X17"/>
  <c r="W17"/>
  <c r="Y17" s="1"/>
  <c r="D116" i="14"/>
  <c r="J111"/>
  <c r="L109"/>
  <c r="J108"/>
  <c r="H108"/>
  <c r="F108"/>
  <c r="D108"/>
  <c r="J107"/>
  <c r="R108" i="25" l="1"/>
  <c r="U106"/>
  <c r="T104"/>
  <c r="S104"/>
  <c r="C104" s="1"/>
  <c r="Q103"/>
  <c r="P103"/>
  <c r="O103"/>
  <c r="N103"/>
  <c r="F18" i="26"/>
  <c r="L103" i="25"/>
  <c r="K103"/>
  <c r="H18" i="26" s="1"/>
  <c r="J103" i="25"/>
  <c r="I103"/>
  <c r="H103"/>
  <c r="G103"/>
  <c r="F103"/>
  <c r="E103"/>
  <c r="C18" i="26" s="1"/>
  <c r="D103" i="25"/>
  <c r="S102"/>
  <c r="R102"/>
  <c r="S101"/>
  <c r="R101"/>
  <c r="T101" s="1"/>
  <c r="S100"/>
  <c r="R100"/>
  <c r="S99"/>
  <c r="R99"/>
  <c r="T99" s="1"/>
  <c r="Q98"/>
  <c r="P98"/>
  <c r="O98"/>
  <c r="N98"/>
  <c r="M98"/>
  <c r="L98"/>
  <c r="K98"/>
  <c r="H12" i="26" s="1"/>
  <c r="J98" i="25"/>
  <c r="I98"/>
  <c r="H98"/>
  <c r="G98"/>
  <c r="G106" s="1"/>
  <c r="F98"/>
  <c r="E98"/>
  <c r="C12" i="26" s="1"/>
  <c r="D98" i="25"/>
  <c r="S97"/>
  <c r="R97"/>
  <c r="S91"/>
  <c r="P81"/>
  <c r="R81" s="1"/>
  <c r="U81" s="1"/>
  <c r="O81"/>
  <c r="M81"/>
  <c r="K81"/>
  <c r="I81"/>
  <c r="G81"/>
  <c r="E81"/>
  <c r="P79"/>
  <c r="Q79" s="1"/>
  <c r="N79"/>
  <c r="O79" s="1"/>
  <c r="L79"/>
  <c r="M79" s="1"/>
  <c r="J79"/>
  <c r="K79" s="1"/>
  <c r="H79"/>
  <c r="I79" s="1"/>
  <c r="F79"/>
  <c r="G79" s="1"/>
  <c r="D79"/>
  <c r="R79" s="1"/>
  <c r="U79" s="1"/>
  <c r="A79"/>
  <c r="A102" s="1"/>
  <c r="Q78"/>
  <c r="P78"/>
  <c r="O78"/>
  <c r="N78"/>
  <c r="M78"/>
  <c r="L78"/>
  <c r="K78"/>
  <c r="J78"/>
  <c r="I78"/>
  <c r="H78"/>
  <c r="G78"/>
  <c r="F78"/>
  <c r="E78"/>
  <c r="S78" s="1"/>
  <c r="D78"/>
  <c r="R78" s="1"/>
  <c r="U78" s="1"/>
  <c r="A78"/>
  <c r="A101" s="1"/>
  <c r="Q77"/>
  <c r="Q80" s="1"/>
  <c r="P77"/>
  <c r="P80" s="1"/>
  <c r="O77"/>
  <c r="O80" s="1"/>
  <c r="N77"/>
  <c r="N80" s="1"/>
  <c r="M77"/>
  <c r="M80" s="1"/>
  <c r="L77"/>
  <c r="L80" s="1"/>
  <c r="K77"/>
  <c r="K80" s="1"/>
  <c r="J77"/>
  <c r="J80" s="1"/>
  <c r="I77"/>
  <c r="I80" s="1"/>
  <c r="H77"/>
  <c r="H80" s="1"/>
  <c r="G77"/>
  <c r="G80" s="1"/>
  <c r="F77"/>
  <c r="F80" s="1"/>
  <c r="E77"/>
  <c r="D77"/>
  <c r="R77" s="1"/>
  <c r="A77"/>
  <c r="A100" s="1"/>
  <c r="Q76"/>
  <c r="N76"/>
  <c r="O76" s="1"/>
  <c r="L76"/>
  <c r="R76" s="1"/>
  <c r="U76" s="1"/>
  <c r="K76"/>
  <c r="I76"/>
  <c r="G76"/>
  <c r="E76"/>
  <c r="P74"/>
  <c r="Q74" s="1"/>
  <c r="O74"/>
  <c r="M74"/>
  <c r="K74"/>
  <c r="I74"/>
  <c r="G74"/>
  <c r="E74"/>
  <c r="S74" s="1"/>
  <c r="O73"/>
  <c r="M73"/>
  <c r="K73"/>
  <c r="I73"/>
  <c r="G73"/>
  <c r="E73"/>
  <c r="M72"/>
  <c r="K72"/>
  <c r="J72"/>
  <c r="I72"/>
  <c r="G72"/>
  <c r="E72"/>
  <c r="Q71"/>
  <c r="M71"/>
  <c r="K71"/>
  <c r="I71"/>
  <c r="G71"/>
  <c r="E71"/>
  <c r="Q70"/>
  <c r="K70"/>
  <c r="I70"/>
  <c r="G70"/>
  <c r="E70"/>
  <c r="Q69"/>
  <c r="O69"/>
  <c r="M69"/>
  <c r="Q68"/>
  <c r="O68"/>
  <c r="M68"/>
  <c r="E68"/>
  <c r="O61"/>
  <c r="O62" s="1"/>
  <c r="N61"/>
  <c r="N62" s="1"/>
  <c r="M61"/>
  <c r="M62" s="1"/>
  <c r="L61"/>
  <c r="L62" s="1"/>
  <c r="K62"/>
  <c r="I62"/>
  <c r="P60"/>
  <c r="O60"/>
  <c r="N60"/>
  <c r="M60"/>
  <c r="L60"/>
  <c r="J60"/>
  <c r="P59"/>
  <c r="O59"/>
  <c r="N59"/>
  <c r="M59"/>
  <c r="L59"/>
  <c r="J59"/>
  <c r="G59"/>
  <c r="F59"/>
  <c r="E59"/>
  <c r="D59"/>
  <c r="K58"/>
  <c r="B58" s="1"/>
  <c r="P56"/>
  <c r="O56"/>
  <c r="N56"/>
  <c r="M56"/>
  <c r="L56"/>
  <c r="J56"/>
  <c r="I56"/>
  <c r="E56"/>
  <c r="D56"/>
  <c r="K55"/>
  <c r="B55" s="1"/>
  <c r="P53"/>
  <c r="O53"/>
  <c r="N53"/>
  <c r="M53"/>
  <c r="J53"/>
  <c r="I53"/>
  <c r="H53"/>
  <c r="G53"/>
  <c r="E53"/>
  <c r="D53"/>
  <c r="K52"/>
  <c r="B52" s="1"/>
  <c r="P50"/>
  <c r="O50"/>
  <c r="N50"/>
  <c r="M50"/>
  <c r="L50"/>
  <c r="J50"/>
  <c r="I50"/>
  <c r="H50"/>
  <c r="G50"/>
  <c r="F50"/>
  <c r="K49"/>
  <c r="S47"/>
  <c r="P47"/>
  <c r="O47"/>
  <c r="N47"/>
  <c r="M47"/>
  <c r="L47"/>
  <c r="J47"/>
  <c r="I47"/>
  <c r="H47"/>
  <c r="G47"/>
  <c r="F47"/>
  <c r="K46"/>
  <c r="B46" s="1"/>
  <c r="S44"/>
  <c r="P44"/>
  <c r="O44"/>
  <c r="N44"/>
  <c r="M44"/>
  <c r="L44"/>
  <c r="J44"/>
  <c r="I44"/>
  <c r="H44"/>
  <c r="G44"/>
  <c r="F44"/>
  <c r="K43"/>
  <c r="B43" s="1"/>
  <c r="S41"/>
  <c r="P41"/>
  <c r="O41"/>
  <c r="N41"/>
  <c r="M41"/>
  <c r="L41"/>
  <c r="J41"/>
  <c r="I41"/>
  <c r="H41"/>
  <c r="G41"/>
  <c r="F41"/>
  <c r="D41"/>
  <c r="K40"/>
  <c r="C99" l="1"/>
  <c r="C11" i="26"/>
  <c r="G18"/>
  <c r="C100" i="25"/>
  <c r="S98"/>
  <c r="Q106"/>
  <c r="J12" i="26"/>
  <c r="J11" s="1"/>
  <c r="J35" s="1"/>
  <c r="P106" i="25"/>
  <c r="J13" i="26"/>
  <c r="J14" s="1"/>
  <c r="D12"/>
  <c r="D11" s="1"/>
  <c r="D35" s="1"/>
  <c r="F106" i="25"/>
  <c r="D13" i="26"/>
  <c r="D14" s="1"/>
  <c r="O106" i="25"/>
  <c r="I12" i="26"/>
  <c r="N106" i="25"/>
  <c r="I13" i="26"/>
  <c r="I14" s="1"/>
  <c r="C101" i="25"/>
  <c r="M106"/>
  <c r="R52" s="1"/>
  <c r="F12" i="26"/>
  <c r="F11" s="1"/>
  <c r="F35" s="1"/>
  <c r="L106" i="25"/>
  <c r="F13" i="26"/>
  <c r="F14" s="1"/>
  <c r="C93" i="25"/>
  <c r="C94"/>
  <c r="C95"/>
  <c r="C96"/>
  <c r="C97"/>
  <c r="H11" i="26"/>
  <c r="H35" s="1"/>
  <c r="K12"/>
  <c r="H106" i="25"/>
  <c r="E13" i="26"/>
  <c r="I106" i="25"/>
  <c r="R46" s="1"/>
  <c r="E12" i="26"/>
  <c r="C91" i="25"/>
  <c r="D106"/>
  <c r="C13" i="26"/>
  <c r="J106" i="25"/>
  <c r="H13" i="26"/>
  <c r="E106" i="25"/>
  <c r="R40" s="1"/>
  <c r="K106"/>
  <c r="K108" s="1"/>
  <c r="S103"/>
  <c r="S106" s="1"/>
  <c r="S108" s="1"/>
  <c r="C102"/>
  <c r="K18" i="26"/>
  <c r="C92" i="25"/>
  <c r="B40"/>
  <c r="U77"/>
  <c r="R80"/>
  <c r="U80" s="1"/>
  <c r="E108"/>
  <c r="G108"/>
  <c r="R43"/>
  <c r="I108"/>
  <c r="M108"/>
  <c r="O108"/>
  <c r="R55"/>
  <c r="R58"/>
  <c r="Q108"/>
  <c r="R74"/>
  <c r="U74" s="1"/>
  <c r="S77"/>
  <c r="S80" s="1"/>
  <c r="E79"/>
  <c r="S79" s="1"/>
  <c r="D80"/>
  <c r="Q81"/>
  <c r="S81" s="1"/>
  <c r="T91"/>
  <c r="T92"/>
  <c r="T93"/>
  <c r="T94"/>
  <c r="T95"/>
  <c r="T96"/>
  <c r="T97"/>
  <c r="R98"/>
  <c r="T100"/>
  <c r="R103"/>
  <c r="B49"/>
  <c r="M76"/>
  <c r="S76" s="1"/>
  <c r="K13" i="26" l="1"/>
  <c r="G13"/>
  <c r="R49" i="25"/>
  <c r="R61" s="1"/>
  <c r="K11" i="26"/>
  <c r="K35" s="1"/>
  <c r="G12"/>
  <c r="E14"/>
  <c r="E11"/>
  <c r="E35" s="1"/>
  <c r="H14"/>
  <c r="K14"/>
  <c r="C14"/>
  <c r="C35"/>
  <c r="L18"/>
  <c r="T58" i="25"/>
  <c r="T52"/>
  <c r="T46"/>
  <c r="Q61"/>
  <c r="T40"/>
  <c r="R106"/>
  <c r="E80"/>
  <c r="C98"/>
  <c r="T55"/>
  <c r="T49"/>
  <c r="T43"/>
  <c r="L13" i="26" l="1"/>
  <c r="C9" i="21" s="1"/>
  <c r="L12" i="26"/>
  <c r="L11" s="1"/>
  <c r="G11"/>
  <c r="G35" s="1"/>
  <c r="G14"/>
  <c r="C14" i="21"/>
  <c r="S61" i="25"/>
  <c r="L35" i="26" l="1"/>
  <c r="C8" i="21"/>
  <c r="L14" i="26"/>
  <c r="AI29" i="25"/>
  <c r="AH29"/>
  <c r="AG29"/>
  <c r="AF29"/>
  <c r="AE29"/>
  <c r="AI26"/>
  <c r="AH26"/>
  <c r="AG26"/>
  <c r="AF26"/>
  <c r="AE26" s="1"/>
  <c r="J4" i="26"/>
  <c r="AI23" i="25"/>
  <c r="AH23"/>
  <c r="AG23"/>
  <c r="AF23"/>
  <c r="AE23" s="1"/>
  <c r="AD23" s="1"/>
  <c r="AD24" s="1"/>
  <c r="I4" i="26"/>
  <c r="AI20" i="25"/>
  <c r="AH20"/>
  <c r="AG20"/>
  <c r="AF20"/>
  <c r="F4" i="26"/>
  <c r="AI17" i="25"/>
  <c r="AH17"/>
  <c r="AG17"/>
  <c r="AF17"/>
  <c r="AE17" s="1"/>
  <c r="AD17" s="1"/>
  <c r="AD18" s="1"/>
  <c r="H4" i="26"/>
  <c r="AI14" i="25"/>
  <c r="AH14"/>
  <c r="AG14"/>
  <c r="AF14"/>
  <c r="AE14" s="1"/>
  <c r="AD14" s="1"/>
  <c r="AD15" s="1"/>
  <c r="E4" i="26"/>
  <c r="AI11" i="25"/>
  <c r="AH11"/>
  <c r="AG11"/>
  <c r="AF11"/>
  <c r="AE11" s="1"/>
  <c r="AD11" s="1"/>
  <c r="AD12" s="1"/>
  <c r="D4" i="26"/>
  <c r="X11" i="25"/>
  <c r="C4" i="26"/>
  <c r="AE20" i="25" l="1"/>
  <c r="AD20" s="1"/>
  <c r="AD21" s="1"/>
  <c r="AC26"/>
  <c r="G4" i="26"/>
  <c r="S52" i="25"/>
  <c r="F7" i="26"/>
  <c r="S55" i="25"/>
  <c r="I7" i="26"/>
  <c r="S49" i="25"/>
  <c r="H7" i="26"/>
  <c r="K4"/>
  <c r="S58" i="25"/>
  <c r="J7" i="26"/>
  <c r="C7" i="21"/>
  <c r="C60" s="1"/>
  <c r="C10"/>
  <c r="X14" i="25"/>
  <c r="AD26"/>
  <c r="X17"/>
  <c r="AD29"/>
  <c r="W26"/>
  <c r="W23"/>
  <c r="Y23" s="1"/>
  <c r="W20"/>
  <c r="W17"/>
  <c r="Y17" s="1"/>
  <c r="W14"/>
  <c r="Y14" s="1"/>
  <c r="W11"/>
  <c r="E85" i="4" l="1"/>
  <c r="Y26" i="25"/>
  <c r="E94" i="4"/>
  <c r="K7" i="26"/>
  <c r="L4"/>
  <c r="G7"/>
  <c r="Y20" i="25"/>
  <c r="Z20" s="1"/>
  <c r="Z14"/>
  <c r="Z26"/>
  <c r="Z23"/>
  <c r="Z17"/>
  <c r="Y11"/>
  <c r="Z11" s="1"/>
  <c r="L7" i="26" l="1"/>
  <c r="E91" i="4" s="1"/>
  <c r="AI30" i="25"/>
  <c r="AH30"/>
  <c r="AG30"/>
  <c r="AD30"/>
  <c r="AC30"/>
  <c r="V30"/>
  <c r="U30"/>
  <c r="T30"/>
  <c r="S30"/>
  <c r="R30"/>
  <c r="Q30"/>
  <c r="N30"/>
  <c r="M30"/>
  <c r="I30"/>
  <c r="H30"/>
  <c r="G30"/>
  <c r="F30"/>
  <c r="E30"/>
  <c r="D30"/>
  <c r="C30"/>
  <c r="B30"/>
  <c r="AD27"/>
  <c r="I27"/>
  <c r="H27"/>
  <c r="G27"/>
  <c r="F27"/>
  <c r="E27"/>
  <c r="D27"/>
  <c r="R24"/>
  <c r="Q24"/>
  <c r="P24"/>
  <c r="O24"/>
  <c r="G24"/>
  <c r="F24"/>
  <c r="E24"/>
  <c r="D24"/>
  <c r="R21"/>
  <c r="Q21"/>
  <c r="P21"/>
  <c r="O21"/>
  <c r="I21"/>
  <c r="H21"/>
  <c r="G21"/>
  <c r="F21"/>
  <c r="R18"/>
  <c r="Q18"/>
  <c r="G18"/>
  <c r="F18"/>
  <c r="E18"/>
  <c r="D18"/>
  <c r="AC15"/>
  <c r="R15"/>
  <c r="Q15"/>
  <c r="I15"/>
  <c r="H15"/>
  <c r="G15"/>
  <c r="F15"/>
  <c r="E15"/>
  <c r="D15"/>
  <c r="AC12"/>
  <c r="R12"/>
  <c r="Q12"/>
  <c r="L12"/>
  <c r="I12"/>
  <c r="H12"/>
  <c r="G12"/>
  <c r="F12"/>
  <c r="E12"/>
  <c r="D12"/>
  <c r="AI36" i="2"/>
  <c r="AH36"/>
  <c r="AG36"/>
  <c r="AD36"/>
  <c r="AC36"/>
  <c r="V36"/>
  <c r="U36"/>
  <c r="T36"/>
  <c r="S36"/>
  <c r="R36"/>
  <c r="Q36"/>
  <c r="N36"/>
  <c r="M36"/>
  <c r="I36"/>
  <c r="H36"/>
  <c r="G36"/>
  <c r="F36"/>
  <c r="E36"/>
  <c r="D36"/>
  <c r="C36"/>
  <c r="B36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AI30"/>
  <c r="V30"/>
  <c r="U30"/>
  <c r="R30"/>
  <c r="Q30"/>
  <c r="P30"/>
  <c r="O30"/>
  <c r="N30"/>
  <c r="M30"/>
  <c r="K30"/>
  <c r="J30"/>
  <c r="I30"/>
  <c r="H30"/>
  <c r="G30"/>
  <c r="F30"/>
  <c r="AI27"/>
  <c r="V27"/>
  <c r="U27"/>
  <c r="R27"/>
  <c r="Q27"/>
  <c r="P27"/>
  <c r="O27"/>
  <c r="N27"/>
  <c r="M27"/>
  <c r="K27"/>
  <c r="J27"/>
  <c r="I27"/>
  <c r="H27"/>
  <c r="G27"/>
  <c r="F27"/>
  <c r="V24"/>
  <c r="U24"/>
  <c r="T24"/>
  <c r="S24"/>
  <c r="R24"/>
  <c r="Q24"/>
  <c r="N24"/>
  <c r="M24"/>
  <c r="K24"/>
  <c r="J24"/>
  <c r="I24"/>
  <c r="H24"/>
  <c r="G24"/>
  <c r="F24"/>
  <c r="E24"/>
  <c r="D24"/>
  <c r="V21"/>
  <c r="U21"/>
  <c r="T21"/>
  <c r="S21"/>
  <c r="R21"/>
  <c r="Q21"/>
  <c r="N21"/>
  <c r="M21"/>
  <c r="K21"/>
  <c r="J21"/>
  <c r="I21"/>
  <c r="H21"/>
  <c r="G21"/>
  <c r="F21"/>
  <c r="E21"/>
  <c r="D21"/>
  <c r="V18"/>
  <c r="U18"/>
  <c r="T18"/>
  <c r="S18"/>
  <c r="R18"/>
  <c r="Q18"/>
  <c r="N18"/>
  <c r="M18"/>
  <c r="K18"/>
  <c r="J18"/>
  <c r="I18"/>
  <c r="H18"/>
  <c r="G18"/>
  <c r="F18"/>
  <c r="E18"/>
  <c r="D18"/>
  <c r="V15"/>
  <c r="U15"/>
  <c r="T15"/>
  <c r="S15"/>
  <c r="R15"/>
  <c r="Q15"/>
  <c r="K15"/>
  <c r="J15"/>
  <c r="I15"/>
  <c r="H15"/>
  <c r="G15"/>
  <c r="F15"/>
  <c r="E15"/>
  <c r="D15"/>
  <c r="AC12"/>
  <c r="V12"/>
  <c r="U12"/>
  <c r="T12"/>
  <c r="S12"/>
  <c r="R12"/>
  <c r="Q12"/>
  <c r="L12"/>
  <c r="I12"/>
  <c r="H12"/>
  <c r="G12"/>
  <c r="F12"/>
  <c r="E12"/>
  <c r="D12"/>
  <c r="V9"/>
  <c r="U9"/>
  <c r="T9"/>
  <c r="S9"/>
  <c r="R9"/>
  <c r="Q9"/>
  <c r="P9"/>
  <c r="O9"/>
  <c r="I9"/>
  <c r="H9"/>
  <c r="G9"/>
  <c r="F9"/>
  <c r="E9"/>
  <c r="D9"/>
  <c r="O55" i="18" l="1"/>
  <c r="E71" i="21" s="1"/>
  <c r="AN78" i="19"/>
  <c r="C55" i="18"/>
  <c r="AN69" i="19"/>
  <c r="AK73" l="1"/>
  <c r="I55" i="18"/>
  <c r="AN75" i="19"/>
  <c r="E55" i="18"/>
  <c r="AN71" i="19"/>
  <c r="AK76"/>
  <c r="H55" i="18"/>
  <c r="AN74" i="19"/>
  <c r="F55" i="18"/>
  <c r="AN72" i="19"/>
  <c r="D55" i="18"/>
  <c r="AN70" i="19"/>
  <c r="C5" i="11"/>
  <c r="D5"/>
  <c r="E5"/>
  <c r="F5"/>
  <c r="G5"/>
  <c r="H6"/>
  <c r="H5" s="1"/>
  <c r="U6"/>
  <c r="Y6"/>
  <c r="AG6"/>
  <c r="AK6"/>
  <c r="H7"/>
  <c r="U7"/>
  <c r="Y7"/>
  <c r="AG7"/>
  <c r="AK7"/>
  <c r="H8"/>
  <c r="U8"/>
  <c r="Y8"/>
  <c r="AG8"/>
  <c r="H9"/>
  <c r="Q9"/>
  <c r="U9"/>
  <c r="AK9"/>
  <c r="H10"/>
  <c r="Q10"/>
  <c r="U10"/>
  <c r="AG10"/>
  <c r="AK10"/>
  <c r="H11"/>
  <c r="U11"/>
  <c r="H12"/>
  <c r="Q12"/>
  <c r="Y12"/>
  <c r="AG12"/>
  <c r="H13"/>
  <c r="Q13"/>
  <c r="U13"/>
  <c r="Y13"/>
  <c r="AG13"/>
  <c r="H14"/>
  <c r="K14"/>
  <c r="L14"/>
  <c r="Q14"/>
  <c r="R14"/>
  <c r="R12" s="1"/>
  <c r="Y14"/>
  <c r="Z14"/>
  <c r="AA14"/>
  <c r="AA12" s="1"/>
  <c r="AG14"/>
  <c r="AH14"/>
  <c r="AI14"/>
  <c r="H15"/>
  <c r="Q15"/>
  <c r="U15"/>
  <c r="Y15"/>
  <c r="AF15"/>
  <c r="AG15" s="1"/>
  <c r="AK15"/>
  <c r="H16"/>
  <c r="Q16"/>
  <c r="Q17" s="1"/>
  <c r="U16"/>
  <c r="U17" s="1"/>
  <c r="Y16"/>
  <c r="AG16"/>
  <c r="AK16"/>
  <c r="H17"/>
  <c r="K17"/>
  <c r="L17"/>
  <c r="Y17"/>
  <c r="H18"/>
  <c r="Y18"/>
  <c r="H19"/>
  <c r="Y19"/>
  <c r="AA18"/>
  <c r="AJ18"/>
  <c r="H20"/>
  <c r="K20"/>
  <c r="L20"/>
  <c r="Y20"/>
  <c r="AI20"/>
  <c r="AJ20"/>
  <c r="H21"/>
  <c r="U21"/>
  <c r="H22"/>
  <c r="T5"/>
  <c r="H23"/>
  <c r="H24"/>
  <c r="H25"/>
  <c r="P25"/>
  <c r="S25"/>
  <c r="T25"/>
  <c r="W25"/>
  <c r="X25"/>
  <c r="O26"/>
  <c r="P26"/>
  <c r="T26"/>
  <c r="W26"/>
  <c r="X26"/>
  <c r="AL26"/>
  <c r="H27"/>
  <c r="H26" s="1"/>
  <c r="H28"/>
  <c r="Q28"/>
  <c r="U28"/>
  <c r="Y28"/>
  <c r="H29"/>
  <c r="Q29"/>
  <c r="U29"/>
  <c r="Y29"/>
  <c r="AD30"/>
  <c r="H31"/>
  <c r="H30" s="1"/>
  <c r="AA30"/>
  <c r="H32"/>
  <c r="AC32" s="1"/>
  <c r="M32"/>
  <c r="Q32"/>
  <c r="U32"/>
  <c r="Y32"/>
  <c r="AG32"/>
  <c r="H33"/>
  <c r="M33"/>
  <c r="Q33"/>
  <c r="U33"/>
  <c r="Y33"/>
  <c r="AC33"/>
  <c r="H34"/>
  <c r="M34"/>
  <c r="Q34"/>
  <c r="U34"/>
  <c r="Y34"/>
  <c r="AC34"/>
  <c r="AG34"/>
  <c r="H35"/>
  <c r="Q35"/>
  <c r="U35"/>
  <c r="Y35"/>
  <c r="AG35"/>
  <c r="H36"/>
  <c r="M36"/>
  <c r="Q36"/>
  <c r="U36"/>
  <c r="Y36"/>
  <c r="AC36"/>
  <c r="AG36"/>
  <c r="H37"/>
  <c r="AC37" s="1"/>
  <c r="M37"/>
  <c r="Q37"/>
  <c r="U37"/>
  <c r="Y37"/>
  <c r="AG37"/>
  <c r="H38"/>
  <c r="M38"/>
  <c r="Q38"/>
  <c r="U38"/>
  <c r="Y38"/>
  <c r="AC38"/>
  <c r="AG38"/>
  <c r="AK38"/>
  <c r="H39"/>
  <c r="AC39" s="1"/>
  <c r="M39"/>
  <c r="Q39"/>
  <c r="U39"/>
  <c r="Y39"/>
  <c r="AG39"/>
  <c r="H40"/>
  <c r="M40"/>
  <c r="Q40"/>
  <c r="Y40"/>
  <c r="AG40"/>
  <c r="C41"/>
  <c r="D41"/>
  <c r="D54" s="1"/>
  <c r="E41"/>
  <c r="F41"/>
  <c r="F54" s="1"/>
  <c r="G41"/>
  <c r="C42"/>
  <c r="D42"/>
  <c r="E42"/>
  <c r="F42"/>
  <c r="G42"/>
  <c r="O42"/>
  <c r="P42"/>
  <c r="S42"/>
  <c r="T42"/>
  <c r="W42"/>
  <c r="X42"/>
  <c r="H43"/>
  <c r="K43"/>
  <c r="L43"/>
  <c r="H44"/>
  <c r="K44"/>
  <c r="L44"/>
  <c r="H45"/>
  <c r="K45"/>
  <c r="L45"/>
  <c r="H46"/>
  <c r="K46"/>
  <c r="L46"/>
  <c r="H47"/>
  <c r="H48"/>
  <c r="H49"/>
  <c r="H50"/>
  <c r="L50"/>
  <c r="H51"/>
  <c r="K51"/>
  <c r="L51"/>
  <c r="H52"/>
  <c r="K52"/>
  <c r="L52"/>
  <c r="C54"/>
  <c r="E54"/>
  <c r="G54"/>
  <c r="K63"/>
  <c r="L63"/>
  <c r="AD63"/>
  <c r="AL63"/>
  <c r="AM63"/>
  <c r="K67"/>
  <c r="AD67"/>
  <c r="AL67"/>
  <c r="AM67"/>
  <c r="O68"/>
  <c r="P68"/>
  <c r="S68"/>
  <c r="T68"/>
  <c r="W68"/>
  <c r="X68"/>
  <c r="AA68"/>
  <c r="AA58" s="1"/>
  <c r="AB68"/>
  <c r="AB58" s="1"/>
  <c r="AD68"/>
  <c r="AF68"/>
  <c r="AL68"/>
  <c r="AL58" s="1"/>
  <c r="AM68"/>
  <c r="AM58" s="1"/>
  <c r="H69"/>
  <c r="H70"/>
  <c r="H71"/>
  <c r="H72"/>
  <c r="K73"/>
  <c r="B73"/>
  <c r="C73"/>
  <c r="D73"/>
  <c r="E73"/>
  <c r="F73"/>
  <c r="G73"/>
  <c r="H73"/>
  <c r="R73"/>
  <c r="T73"/>
  <c r="V73"/>
  <c r="X73"/>
  <c r="Z73"/>
  <c r="AA73"/>
  <c r="AB73"/>
  <c r="AD73"/>
  <c r="AE73"/>
  <c r="AL73"/>
  <c r="AM73"/>
  <c r="H74"/>
  <c r="H75"/>
  <c r="L76"/>
  <c r="B76"/>
  <c r="B77" s="1"/>
  <c r="C76"/>
  <c r="D76"/>
  <c r="E76"/>
  <c r="F76"/>
  <c r="G76"/>
  <c r="H76"/>
  <c r="R76"/>
  <c r="T76"/>
  <c r="V76"/>
  <c r="X76"/>
  <c r="Z76"/>
  <c r="AA76"/>
  <c r="AB76"/>
  <c r="AD76"/>
  <c r="AE76"/>
  <c r="AL76"/>
  <c r="AM76"/>
  <c r="D77"/>
  <c r="E77"/>
  <c r="F77"/>
  <c r="G77"/>
  <c r="H77"/>
  <c r="N77"/>
  <c r="P77"/>
  <c r="R77"/>
  <c r="T77"/>
  <c r="V77"/>
  <c r="X77"/>
  <c r="Z77"/>
  <c r="AA77"/>
  <c r="AB77"/>
  <c r="AD77"/>
  <c r="AE77"/>
  <c r="AL77"/>
  <c r="AM77"/>
  <c r="H78"/>
  <c r="AG78"/>
  <c r="M81"/>
  <c r="Q81"/>
  <c r="U81"/>
  <c r="C82"/>
  <c r="D82"/>
  <c r="E82"/>
  <c r="F82"/>
  <c r="G82"/>
  <c r="H83"/>
  <c r="AG83"/>
  <c r="H84"/>
  <c r="AG84"/>
  <c r="H85"/>
  <c r="AG85"/>
  <c r="H86"/>
  <c r="AD87"/>
  <c r="AD82" s="1"/>
  <c r="AE87"/>
  <c r="AE82" s="1"/>
  <c r="AF87"/>
  <c r="AF82" s="1"/>
  <c r="AG87"/>
  <c r="AL87"/>
  <c r="AL82" s="1"/>
  <c r="C90"/>
  <c r="D90"/>
  <c r="E90"/>
  <c r="F90"/>
  <c r="G90"/>
  <c r="B43"/>
  <c r="H91"/>
  <c r="B44" s="1"/>
  <c r="B51"/>
  <c r="B52"/>
  <c r="AG91"/>
  <c r="AG90" s="1"/>
  <c r="H98"/>
  <c r="I44" s="1"/>
  <c r="I45"/>
  <c r="I51"/>
  <c r="I52"/>
  <c r="AG98"/>
  <c r="H99"/>
  <c r="J44" s="1"/>
  <c r="W102"/>
  <c r="X102"/>
  <c r="J51"/>
  <c r="J52"/>
  <c r="AG99"/>
  <c r="Q100"/>
  <c r="K47" s="1"/>
  <c r="U100"/>
  <c r="K48" s="1"/>
  <c r="Y100"/>
  <c r="K50"/>
  <c r="AG100"/>
  <c r="Q101"/>
  <c r="L47" s="1"/>
  <c r="U101"/>
  <c r="L48" s="1"/>
  <c r="Y101"/>
  <c r="L49" s="1"/>
  <c r="AG101"/>
  <c r="H102"/>
  <c r="M44" s="1"/>
  <c r="K102"/>
  <c r="S102"/>
  <c r="T102"/>
  <c r="AD102"/>
  <c r="AD90" s="1"/>
  <c r="AE102"/>
  <c r="AE90" s="1"/>
  <c r="AF102"/>
  <c r="AF90" s="1"/>
  <c r="AG102"/>
  <c r="AK102"/>
  <c r="AK90" s="1"/>
  <c r="AL102"/>
  <c r="AL90" s="1"/>
  <c r="AM102"/>
  <c r="AM90" s="1"/>
  <c r="N43"/>
  <c r="H103"/>
  <c r="N44" s="1"/>
  <c r="Q44" s="1"/>
  <c r="N51"/>
  <c r="Q51" s="1"/>
  <c r="N52"/>
  <c r="Q52" s="1"/>
  <c r="AG103"/>
  <c r="H104"/>
  <c r="R44" s="1"/>
  <c r="U44" s="1"/>
  <c r="R51"/>
  <c r="U51" s="1"/>
  <c r="R52"/>
  <c r="U52" s="1"/>
  <c r="AG104"/>
  <c r="H105"/>
  <c r="V49"/>
  <c r="Y50"/>
  <c r="V51"/>
  <c r="Y52"/>
  <c r="AG105"/>
  <c r="H106"/>
  <c r="Z44" s="1"/>
  <c r="Z50"/>
  <c r="Z51"/>
  <c r="Z52"/>
  <c r="AG106"/>
  <c r="H107"/>
  <c r="AA44" s="1"/>
  <c r="AA45"/>
  <c r="AA50"/>
  <c r="AA51"/>
  <c r="AA52"/>
  <c r="AG107"/>
  <c r="H108"/>
  <c r="AB44" s="1"/>
  <c r="AB51"/>
  <c r="AB52"/>
  <c r="AG108"/>
  <c r="C109"/>
  <c r="D109"/>
  <c r="E109"/>
  <c r="F109"/>
  <c r="G109"/>
  <c r="AD109"/>
  <c r="AE109"/>
  <c r="AF109"/>
  <c r="AK109"/>
  <c r="AL109"/>
  <c r="AM109"/>
  <c r="H110"/>
  <c r="AD44" s="1"/>
  <c r="AD50"/>
  <c r="AD52"/>
  <c r="AG110"/>
  <c r="H111"/>
  <c r="AE51"/>
  <c r="AG111"/>
  <c r="H112"/>
  <c r="AF44" s="1"/>
  <c r="AF50"/>
  <c r="AF51"/>
  <c r="AF52"/>
  <c r="AG112"/>
  <c r="H113"/>
  <c r="AK44" s="1"/>
  <c r="AK51"/>
  <c r="AK52"/>
  <c r="AG113"/>
  <c r="AL43"/>
  <c r="H114"/>
  <c r="AL44" s="1"/>
  <c r="AL45"/>
  <c r="AL52"/>
  <c r="AG114"/>
  <c r="H115"/>
  <c r="AM44" s="1"/>
  <c r="AM51"/>
  <c r="AM52"/>
  <c r="AG115"/>
  <c r="H116"/>
  <c r="Y116"/>
  <c r="AG116"/>
  <c r="Z118"/>
  <c r="AG17" l="1"/>
  <c r="Q11"/>
  <c r="K68"/>
  <c r="C68"/>
  <c r="C58" s="1"/>
  <c r="C57" s="1"/>
  <c r="G68"/>
  <c r="G58" s="1"/>
  <c r="G57" s="1"/>
  <c r="E68"/>
  <c r="E58" s="1"/>
  <c r="E57" s="1"/>
  <c r="AG82"/>
  <c r="AB102"/>
  <c r="M52" s="1"/>
  <c r="AA102"/>
  <c r="M51" s="1"/>
  <c r="AK77" i="19"/>
  <c r="AN76"/>
  <c r="AN73"/>
  <c r="H87" i="11"/>
  <c r="X87"/>
  <c r="S87"/>
  <c r="P87"/>
  <c r="K87"/>
  <c r="AK32"/>
  <c r="W87"/>
  <c r="T87"/>
  <c r="O87"/>
  <c r="AC101"/>
  <c r="AN101" s="1"/>
  <c r="AO101" i="19" s="1"/>
  <c r="AP101" s="1"/>
  <c r="H82" i="11"/>
  <c r="K76"/>
  <c r="K77" s="1"/>
  <c r="L73"/>
  <c r="L77" s="1"/>
  <c r="Y107"/>
  <c r="AA49" s="1"/>
  <c r="Y84"/>
  <c r="Q84"/>
  <c r="F68"/>
  <c r="F58" s="1"/>
  <c r="F57" s="1"/>
  <c r="D68"/>
  <c r="D58" s="1"/>
  <c r="D57" s="1"/>
  <c r="U111"/>
  <c r="AE48" s="1"/>
  <c r="M107"/>
  <c r="AA46" s="1"/>
  <c r="U84"/>
  <c r="K49"/>
  <c r="K42" s="1"/>
  <c r="AC100"/>
  <c r="AN100" s="1"/>
  <c r="AO100" i="19" s="1"/>
  <c r="AP100" s="1"/>
  <c r="U110" i="11"/>
  <c r="Y105"/>
  <c r="Y49" s="1"/>
  <c r="L67"/>
  <c r="L68" s="1"/>
  <c r="AG28"/>
  <c r="Y110"/>
  <c r="AD49" s="1"/>
  <c r="Q110"/>
  <c r="Y112"/>
  <c r="AF49" s="1"/>
  <c r="Q112"/>
  <c r="AF47" s="1"/>
  <c r="Y106"/>
  <c r="Z49" s="1"/>
  <c r="X90"/>
  <c r="S90"/>
  <c r="P90"/>
  <c r="M86"/>
  <c r="W82"/>
  <c r="S82"/>
  <c r="O82"/>
  <c r="K82"/>
  <c r="AK40"/>
  <c r="AK39"/>
  <c r="AN39" s="1"/>
  <c r="AO39" i="19" s="1"/>
  <c r="AP39" s="1"/>
  <c r="AG29" i="11"/>
  <c r="M108"/>
  <c r="AB46" s="1"/>
  <c r="U106"/>
  <c r="Z48" s="1"/>
  <c r="M106"/>
  <c r="Z46" s="1"/>
  <c r="W90"/>
  <c r="T90"/>
  <c r="Y91"/>
  <c r="B49" s="1"/>
  <c r="O90"/>
  <c r="M91"/>
  <c r="K90"/>
  <c r="Y86"/>
  <c r="X82"/>
  <c r="T82"/>
  <c r="P82"/>
  <c r="K58"/>
  <c r="Y22"/>
  <c r="AE9"/>
  <c r="AG9" s="1"/>
  <c r="AG11" s="1"/>
  <c r="N109"/>
  <c r="Q111"/>
  <c r="AE47" s="1"/>
  <c r="P109"/>
  <c r="AG109"/>
  <c r="AE52"/>
  <c r="AG52" s="1"/>
  <c r="AB109"/>
  <c r="AE50"/>
  <c r="AG50" s="1"/>
  <c r="Z109"/>
  <c r="AE44"/>
  <c r="H109"/>
  <c r="AD51"/>
  <c r="AG51" s="1"/>
  <c r="AA109"/>
  <c r="AD48"/>
  <c r="AD47"/>
  <c r="X109"/>
  <c r="T109"/>
  <c r="R109"/>
  <c r="W109"/>
  <c r="O109"/>
  <c r="AC52"/>
  <c r="Y44"/>
  <c r="V44"/>
  <c r="U12"/>
  <c r="U14" s="1"/>
  <c r="AG44"/>
  <c r="AC44"/>
  <c r="AN44" s="1"/>
  <c r="AA90"/>
  <c r="V52"/>
  <c r="Y51"/>
  <c r="AC51" s="1"/>
  <c r="V50"/>
  <c r="V43"/>
  <c r="Y43"/>
  <c r="Q43"/>
  <c r="AB90"/>
  <c r="H90"/>
  <c r="L42"/>
  <c r="H42"/>
  <c r="AN32"/>
  <c r="AO32" i="19" s="1"/>
  <c r="AP32" s="1"/>
  <c r="H41" i="11"/>
  <c r="H54" s="1"/>
  <c r="AN77" i="19" l="1"/>
  <c r="Q109" i="11"/>
  <c r="AG47"/>
  <c r="B46"/>
  <c r="AN52"/>
  <c r="AO52" i="19" s="1"/>
  <c r="AP52" s="1"/>
  <c r="H44" i="14" l="1"/>
  <c r="AE29"/>
  <c r="I44"/>
  <c r="AE44"/>
  <c r="E4" i="21"/>
  <c r="AE20" i="14"/>
  <c r="AE26"/>
  <c r="F27" i="6" l="1"/>
  <c r="E15" i="5" l="1"/>
  <c r="E47"/>
  <c r="I68"/>
  <c r="P61"/>
  <c r="I61"/>
  <c r="E61"/>
  <c r="D61"/>
  <c r="J59"/>
  <c r="J58"/>
  <c r="J57"/>
  <c r="J56"/>
  <c r="J55"/>
  <c r="J54"/>
  <c r="J53"/>
  <c r="J52"/>
  <c r="J51"/>
  <c r="H49"/>
  <c r="H45"/>
  <c r="H44"/>
  <c r="J40"/>
  <c r="P40" s="1"/>
  <c r="J39"/>
  <c r="P39" s="1"/>
  <c r="J37"/>
  <c r="P37" s="1"/>
  <c r="J36"/>
  <c r="P36" s="1"/>
  <c r="J31"/>
  <c r="J30"/>
  <c r="J29"/>
  <c r="I26"/>
  <c r="J22"/>
  <c r="J21"/>
  <c r="J20"/>
  <c r="J19"/>
  <c r="J18"/>
  <c r="J17"/>
  <c r="AB30" i="25"/>
  <c r="AA30"/>
  <c r="C27"/>
  <c r="B27"/>
  <c r="C24"/>
  <c r="B24"/>
  <c r="V21"/>
  <c r="U21"/>
  <c r="C21"/>
  <c r="B21"/>
  <c r="V15"/>
  <c r="U15"/>
  <c r="T15"/>
  <c r="S15"/>
  <c r="L15"/>
  <c r="C15"/>
  <c r="B15"/>
  <c r="V12"/>
  <c r="U12"/>
  <c r="P12"/>
  <c r="O12"/>
  <c r="AG10"/>
  <c r="AG12" s="1"/>
  <c r="AH10"/>
  <c r="AH12" s="1"/>
  <c r="AI10"/>
  <c r="AI12" s="1"/>
  <c r="AG13"/>
  <c r="AG15" s="1"/>
  <c r="AH13"/>
  <c r="AH15" s="1"/>
  <c r="AI13"/>
  <c r="AI15" s="1"/>
  <c r="U9"/>
  <c r="T9"/>
  <c r="S9"/>
  <c r="V32"/>
  <c r="U32"/>
  <c r="T32"/>
  <c r="S32"/>
  <c r="R32"/>
  <c r="Q32"/>
  <c r="P32"/>
  <c r="O32"/>
  <c r="N32"/>
  <c r="M32"/>
  <c r="L32"/>
  <c r="K32"/>
  <c r="J32"/>
  <c r="I32"/>
  <c r="E81" i="4" s="1"/>
  <c r="H32" i="25"/>
  <c r="E80" i="4" s="1"/>
  <c r="G32" i="25"/>
  <c r="F32"/>
  <c r="E32"/>
  <c r="D32"/>
  <c r="C32"/>
  <c r="G31"/>
  <c r="F31"/>
  <c r="AH25"/>
  <c r="AH27" s="1"/>
  <c r="AG25"/>
  <c r="AG27" s="1"/>
  <c r="AH22"/>
  <c r="AH24" s="1"/>
  <c r="AG22"/>
  <c r="AG24" s="1"/>
  <c r="AH19"/>
  <c r="AH21" s="1"/>
  <c r="AG19"/>
  <c r="AG21" s="1"/>
  <c r="AH16"/>
  <c r="AH18" s="1"/>
  <c r="AG16"/>
  <c r="AG18" s="1"/>
  <c r="AB32"/>
  <c r="AA32"/>
  <c r="AC9"/>
  <c r="V9"/>
  <c r="R9"/>
  <c r="Q9"/>
  <c r="P9"/>
  <c r="O9"/>
  <c r="N9"/>
  <c r="M9"/>
  <c r="L9"/>
  <c r="I9"/>
  <c r="H9"/>
  <c r="G9"/>
  <c r="F9"/>
  <c r="E9"/>
  <c r="D9"/>
  <c r="AI8"/>
  <c r="AI32" s="1"/>
  <c r="AH8"/>
  <c r="AH32" s="1"/>
  <c r="AG8"/>
  <c r="AG32" s="1"/>
  <c r="AF8"/>
  <c r="AF32" s="1"/>
  <c r="X8"/>
  <c r="AH7"/>
  <c r="AH31" s="1"/>
  <c r="AG7"/>
  <c r="AG31" s="1"/>
  <c r="K44" i="24"/>
  <c r="L44" s="1"/>
  <c r="G44"/>
  <c r="K38"/>
  <c r="G38"/>
  <c r="L38" s="1"/>
  <c r="K37"/>
  <c r="G37"/>
  <c r="L37" s="1"/>
  <c r="K36"/>
  <c r="G36"/>
  <c r="L36" s="1"/>
  <c r="K35"/>
  <c r="G35"/>
  <c r="L35" s="1"/>
  <c r="K34"/>
  <c r="G34"/>
  <c r="L34" s="1"/>
  <c r="K33"/>
  <c r="G33"/>
  <c r="L33" s="1"/>
  <c r="K32"/>
  <c r="J32"/>
  <c r="I32"/>
  <c r="H32"/>
  <c r="G32"/>
  <c r="L32" s="1"/>
  <c r="F32"/>
  <c r="E32"/>
  <c r="D32"/>
  <c r="C32"/>
  <c r="G29"/>
  <c r="G28"/>
  <c r="G27"/>
  <c r="G24"/>
  <c r="K15"/>
  <c r="G15"/>
  <c r="L15" s="1"/>
  <c r="K14"/>
  <c r="G14"/>
  <c r="L14" s="1"/>
  <c r="I13"/>
  <c r="F13"/>
  <c r="K12"/>
  <c r="G12"/>
  <c r="L12" s="1"/>
  <c r="K11"/>
  <c r="K13" s="1"/>
  <c r="G11"/>
  <c r="L11" s="1"/>
  <c r="L13" s="1"/>
  <c r="L9" i="2"/>
  <c r="R36" i="5" l="1"/>
  <c r="Q36" i="21"/>
  <c r="R36" s="1"/>
  <c r="R39" i="5"/>
  <c r="Q39" i="21"/>
  <c r="R39" s="1"/>
  <c r="C14" i="5"/>
  <c r="M18" i="26"/>
  <c r="N18" s="1"/>
  <c r="C15" i="5"/>
  <c r="M19" i="26"/>
  <c r="N19" s="1"/>
  <c r="R37" i="5"/>
  <c r="Q37" i="21"/>
  <c r="R37" s="1"/>
  <c r="R40" i="5"/>
  <c r="Q40" i="21"/>
  <c r="R40" s="1"/>
  <c r="K24" i="24"/>
  <c r="K27"/>
  <c r="K28"/>
  <c r="K29"/>
  <c r="E79" i="4"/>
  <c r="E89"/>
  <c r="C4" i="21"/>
  <c r="E90" i="4"/>
  <c r="B12" i="25"/>
  <c r="AE8"/>
  <c r="AD8" s="1"/>
  <c r="AD9" s="1"/>
  <c r="C12"/>
  <c r="T61"/>
  <c r="T62" s="1"/>
  <c r="D3" i="24"/>
  <c r="AA12" i="25"/>
  <c r="AH33"/>
  <c r="AG33"/>
  <c r="G33"/>
  <c r="F33"/>
  <c r="X32"/>
  <c r="W32"/>
  <c r="Y8"/>
  <c r="J62" i="5"/>
  <c r="J61"/>
  <c r="J65"/>
  <c r="J11"/>
  <c r="P11" s="1"/>
  <c r="Q11" i="21" s="1"/>
  <c r="R11" s="1"/>
  <c r="J12" i="5"/>
  <c r="P12" s="1"/>
  <c r="Q12" i="21" s="1"/>
  <c r="R12" s="1"/>
  <c r="X30" i="25"/>
  <c r="P51" i="5"/>
  <c r="Q51" i="21" s="1"/>
  <c r="R51" s="1"/>
  <c r="H60" i="5"/>
  <c r="L27" i="24"/>
  <c r="M31" i="26" s="1"/>
  <c r="N31" s="1"/>
  <c r="L28" i="24"/>
  <c r="M32" i="26" s="1"/>
  <c r="N32" s="1"/>
  <c r="L29" i="24"/>
  <c r="M33" i="26" s="1"/>
  <c r="N33" s="1"/>
  <c r="L24" i="24"/>
  <c r="AE28" i="25"/>
  <c r="AE30" s="1"/>
  <c r="AF30" s="1"/>
  <c r="AI16"/>
  <c r="AI18" s="1"/>
  <c r="AI19"/>
  <c r="AI21" s="1"/>
  <c r="AI22"/>
  <c r="AI24" s="1"/>
  <c r="AI25"/>
  <c r="AI27" s="1"/>
  <c r="AE32"/>
  <c r="AH9"/>
  <c r="AG9"/>
  <c r="AC32"/>
  <c r="G13" i="24"/>
  <c r="AJ44" i="14"/>
  <c r="AA44"/>
  <c r="AJ32"/>
  <c r="AA32"/>
  <c r="Y32"/>
  <c r="AJ29"/>
  <c r="AI29"/>
  <c r="AA29"/>
  <c r="Y29"/>
  <c r="AJ26"/>
  <c r="AI26"/>
  <c r="AA26"/>
  <c r="Y26"/>
  <c r="AJ23"/>
  <c r="AI23"/>
  <c r="AA23"/>
  <c r="AJ20"/>
  <c r="AI20"/>
  <c r="AA20"/>
  <c r="AJ17"/>
  <c r="AI17"/>
  <c r="AA17"/>
  <c r="AJ14"/>
  <c r="AI14"/>
  <c r="AI11"/>
  <c r="AA11"/>
  <c r="Y11"/>
  <c r="E93" i="4" l="1"/>
  <c r="E84"/>
  <c r="C48" i="5"/>
  <c r="M28" i="26"/>
  <c r="N28" s="1"/>
  <c r="Q13" i="21"/>
  <c r="R13" s="1"/>
  <c r="W30" i="25"/>
  <c r="Z30"/>
  <c r="Y30"/>
  <c r="Z8"/>
  <c r="Z32" s="1"/>
  <c r="Y32"/>
  <c r="R51" i="5"/>
  <c r="R12"/>
  <c r="R11"/>
  <c r="Y14" i="14"/>
  <c r="Y17"/>
  <c r="Y20"/>
  <c r="Y23"/>
  <c r="AD32" i="25"/>
  <c r="AI7"/>
  <c r="Z11" i="14"/>
  <c r="AB11" s="1"/>
  <c r="Z14"/>
  <c r="Z17"/>
  <c r="Z20"/>
  <c r="Z23"/>
  <c r="Z26"/>
  <c r="AB26" s="1"/>
  <c r="Z29"/>
  <c r="AB29" s="1"/>
  <c r="Z32"/>
  <c r="Z44"/>
  <c r="AB44" s="1"/>
  <c r="F26" i="8"/>
  <c r="W90" i="14"/>
  <c r="W89"/>
  <c r="AO7"/>
  <c r="AB36" i="2"/>
  <c r="AA36"/>
  <c r="D19" i="9"/>
  <c r="D18"/>
  <c r="C18"/>
  <c r="D12"/>
  <c r="AB17" i="14" l="1"/>
  <c r="AB20"/>
  <c r="AB14"/>
  <c r="R13" i="5"/>
  <c r="AI31" i="25"/>
  <c r="AI33" s="1"/>
  <c r="AI9"/>
  <c r="D20" i="9"/>
  <c r="E18"/>
  <c r="O46" i="17" l="1"/>
  <c r="G12" l="1"/>
  <c r="G4"/>
  <c r="G5"/>
  <c r="G6" s="1"/>
  <c r="G9"/>
  <c r="B6" i="20"/>
  <c r="B13"/>
  <c r="P51" i="18" l="1"/>
  <c r="L51" l="1"/>
  <c r="L57"/>
  <c r="F18" l="1"/>
  <c r="N111" i="14"/>
  <c r="N110"/>
  <c r="N109" l="1"/>
  <c r="D15" i="9" l="1"/>
  <c r="J17" i="8"/>
  <c r="I9" l="1"/>
  <c r="E115" i="3" l="1"/>
  <c r="AA31" i="14" l="1"/>
  <c r="J33" i="16" l="1"/>
  <c r="W112" i="2" l="1"/>
  <c r="W111"/>
  <c r="W110"/>
  <c r="W109"/>
  <c r="V109"/>
  <c r="U109"/>
  <c r="S109"/>
  <c r="W107"/>
  <c r="V107"/>
  <c r="Y107" s="1"/>
  <c r="U107"/>
  <c r="S107"/>
  <c r="W106"/>
  <c r="V106"/>
  <c r="Y106" s="1"/>
  <c r="U106"/>
  <c r="S106"/>
  <c r="W105"/>
  <c r="V105"/>
  <c r="Y105" s="1"/>
  <c r="R105"/>
  <c r="S105" s="1"/>
  <c r="W104"/>
  <c r="V104"/>
  <c r="Y104" s="1"/>
  <c r="U104"/>
  <c r="S104"/>
  <c r="U102"/>
  <c r="V101"/>
  <c r="U101"/>
  <c r="S101"/>
  <c r="R90"/>
  <c r="P90"/>
  <c r="Q90" s="1"/>
  <c r="A90"/>
  <c r="T89"/>
  <c r="R89"/>
  <c r="P89"/>
  <c r="Q89" s="1"/>
  <c r="N89"/>
  <c r="O89" s="1"/>
  <c r="R111" s="1"/>
  <c r="S111" s="1"/>
  <c r="L89"/>
  <c r="M89" s="1"/>
  <c r="R112" s="1"/>
  <c r="K89"/>
  <c r="I89"/>
  <c r="F89"/>
  <c r="G89" s="1"/>
  <c r="U89" s="1"/>
  <c r="D89"/>
  <c r="A89"/>
  <c r="A88"/>
  <c r="A87"/>
  <c r="Q86"/>
  <c r="N86"/>
  <c r="O86" s="1"/>
  <c r="L86"/>
  <c r="M86" s="1"/>
  <c r="K86"/>
  <c r="I86"/>
  <c r="A86"/>
  <c r="P84"/>
  <c r="Q84" s="1"/>
  <c r="O84"/>
  <c r="M84"/>
  <c r="K84"/>
  <c r="I84"/>
  <c r="G84"/>
  <c r="U84" s="1"/>
  <c r="E84"/>
  <c r="W84" s="1"/>
  <c r="P83"/>
  <c r="V83" s="1"/>
  <c r="Y83" s="1"/>
  <c r="O83"/>
  <c r="M83"/>
  <c r="K83"/>
  <c r="I83"/>
  <c r="G83"/>
  <c r="S83" s="1"/>
  <c r="E83"/>
  <c r="T82"/>
  <c r="R82"/>
  <c r="P82"/>
  <c r="Q82" s="1"/>
  <c r="N82"/>
  <c r="O82" s="1"/>
  <c r="M82"/>
  <c r="K82"/>
  <c r="J82"/>
  <c r="I82"/>
  <c r="G82"/>
  <c r="E82"/>
  <c r="Q81"/>
  <c r="N81"/>
  <c r="V81" s="1"/>
  <c r="Y81" s="1"/>
  <c r="M81"/>
  <c r="K81"/>
  <c r="I81"/>
  <c r="G81"/>
  <c r="S81" s="1"/>
  <c r="E81"/>
  <c r="R80"/>
  <c r="P80"/>
  <c r="E80"/>
  <c r="C80"/>
  <c r="A80"/>
  <c r="F79"/>
  <c r="C79"/>
  <c r="A79"/>
  <c r="Q78"/>
  <c r="O78"/>
  <c r="M78"/>
  <c r="J78"/>
  <c r="K78" s="1"/>
  <c r="I78"/>
  <c r="A78"/>
  <c r="K71"/>
  <c r="I71"/>
  <c r="H71"/>
  <c r="G71"/>
  <c r="F71"/>
  <c r="E71"/>
  <c r="D71"/>
  <c r="J70"/>
  <c r="I70"/>
  <c r="H70"/>
  <c r="G70"/>
  <c r="J69"/>
  <c r="I69"/>
  <c r="H69"/>
  <c r="G69"/>
  <c r="E69"/>
  <c r="D69"/>
  <c r="K68"/>
  <c r="B68" s="1"/>
  <c r="A66"/>
  <c r="J65"/>
  <c r="I65"/>
  <c r="K64"/>
  <c r="B64" s="1"/>
  <c r="A63"/>
  <c r="J62"/>
  <c r="I62"/>
  <c r="H62"/>
  <c r="G62"/>
  <c r="D62"/>
  <c r="K61"/>
  <c r="B61" s="1"/>
  <c r="A60"/>
  <c r="J59"/>
  <c r="I59"/>
  <c r="K58"/>
  <c r="B58"/>
  <c r="A57"/>
  <c r="J56"/>
  <c r="I56"/>
  <c r="K55"/>
  <c r="A54"/>
  <c r="S53"/>
  <c r="J53"/>
  <c r="I53"/>
  <c r="K52"/>
  <c r="B52"/>
  <c r="A51"/>
  <c r="S50"/>
  <c r="J50"/>
  <c r="I50"/>
  <c r="K49"/>
  <c r="B49" s="1"/>
  <c r="A48"/>
  <c r="S47"/>
  <c r="J47"/>
  <c r="I47"/>
  <c r="Q71"/>
  <c r="K46"/>
  <c r="J71" s="1"/>
  <c r="A45"/>
  <c r="I38"/>
  <c r="H38"/>
  <c r="G38"/>
  <c r="F38"/>
  <c r="F39" s="1"/>
  <c r="V37"/>
  <c r="U37"/>
  <c r="R37"/>
  <c r="Q37"/>
  <c r="I37"/>
  <c r="H37"/>
  <c r="G37"/>
  <c r="F37"/>
  <c r="AE35"/>
  <c r="AD35" s="1"/>
  <c r="X35"/>
  <c r="W35"/>
  <c r="Y35" s="1"/>
  <c r="AE34"/>
  <c r="AE36" s="1"/>
  <c r="AF36" s="1"/>
  <c r="AI32"/>
  <c r="AH32"/>
  <c r="AG32"/>
  <c r="AF32"/>
  <c r="AE32"/>
  <c r="AD32" s="1"/>
  <c r="AD33" s="1"/>
  <c r="AC32"/>
  <c r="X32"/>
  <c r="W32"/>
  <c r="Y32" s="1"/>
  <c r="AH31"/>
  <c r="AG31"/>
  <c r="AI29"/>
  <c r="AH29"/>
  <c r="AG29"/>
  <c r="AF29"/>
  <c r="AC29"/>
  <c r="X29"/>
  <c r="W29"/>
  <c r="Y29" s="1"/>
  <c r="AI28"/>
  <c r="AH28"/>
  <c r="AI26"/>
  <c r="AH26"/>
  <c r="AG26"/>
  <c r="AF26"/>
  <c r="AE26" s="1"/>
  <c r="AC26"/>
  <c r="W26"/>
  <c r="Y26" s="1"/>
  <c r="AI25"/>
  <c r="AH25"/>
  <c r="AG25"/>
  <c r="AI23"/>
  <c r="AH23"/>
  <c r="AG23"/>
  <c r="AF23"/>
  <c r="W23"/>
  <c r="Y23" s="1"/>
  <c r="AH22"/>
  <c r="AG22"/>
  <c r="AI20"/>
  <c r="AH20"/>
  <c r="AG20"/>
  <c r="AF20"/>
  <c r="AE20" s="1"/>
  <c r="AC20"/>
  <c r="W20"/>
  <c r="Y20" s="1"/>
  <c r="AH19"/>
  <c r="AG19"/>
  <c r="AC38"/>
  <c r="AH16"/>
  <c r="AH18" s="1"/>
  <c r="AG16"/>
  <c r="AG18" s="1"/>
  <c r="AI14"/>
  <c r="AH14"/>
  <c r="AG14"/>
  <c r="AF14"/>
  <c r="AE14"/>
  <c r="X14"/>
  <c r="W14"/>
  <c r="Y14" s="1"/>
  <c r="AH13"/>
  <c r="AG13"/>
  <c r="AI11"/>
  <c r="AH11"/>
  <c r="AH12" s="1"/>
  <c r="AG11"/>
  <c r="AF11"/>
  <c r="C38"/>
  <c r="B38"/>
  <c r="AH10"/>
  <c r="AC9"/>
  <c r="AI8"/>
  <c r="AI38" s="1"/>
  <c r="AH8"/>
  <c r="AH38" s="1"/>
  <c r="AG8"/>
  <c r="AG38" s="1"/>
  <c r="AF8"/>
  <c r="AF38" s="1"/>
  <c r="AH7"/>
  <c r="AH37" s="1"/>
  <c r="AE29" l="1"/>
  <c r="G39"/>
  <c r="I39"/>
  <c r="V39"/>
  <c r="H39"/>
  <c r="U39"/>
  <c r="R39"/>
  <c r="Q39"/>
  <c r="C109"/>
  <c r="K8" i="17"/>
  <c r="N8" s="1"/>
  <c r="F4" i="21"/>
  <c r="W82" i="2"/>
  <c r="AH39"/>
  <c r="AG15"/>
  <c r="AH21"/>
  <c r="AG24"/>
  <c r="AH27"/>
  <c r="AH30"/>
  <c r="AH33"/>
  <c r="R103"/>
  <c r="R110"/>
  <c r="R113"/>
  <c r="S113" s="1"/>
  <c r="AH15"/>
  <c r="AG21"/>
  <c r="AE23"/>
  <c r="AH24"/>
  <c r="AG27"/>
  <c r="AG33"/>
  <c r="T113"/>
  <c r="U113" s="1"/>
  <c r="X26"/>
  <c r="X23"/>
  <c r="Y101"/>
  <c r="S103"/>
  <c r="Y109"/>
  <c r="S110"/>
  <c r="S114" s="1"/>
  <c r="S112"/>
  <c r="W101"/>
  <c r="C101" s="1"/>
  <c r="Q83"/>
  <c r="W83" s="1"/>
  <c r="AE11"/>
  <c r="X20"/>
  <c r="V89"/>
  <c r="Y89" s="1"/>
  <c r="G72"/>
  <c r="I72"/>
  <c r="S82"/>
  <c r="AC23"/>
  <c r="Q65"/>
  <c r="F72"/>
  <c r="H72"/>
  <c r="V82"/>
  <c r="Y82" s="1"/>
  <c r="E89"/>
  <c r="AD18"/>
  <c r="AD20"/>
  <c r="AD21" s="1"/>
  <c r="AD23"/>
  <c r="AD24" s="1"/>
  <c r="AD26"/>
  <c r="AD27" s="1"/>
  <c r="AD11"/>
  <c r="AD12" s="1"/>
  <c r="B71"/>
  <c r="S71"/>
  <c r="W8"/>
  <c r="AE8"/>
  <c r="AH9"/>
  <c r="W11"/>
  <c r="Y11" s="1"/>
  <c r="AD14"/>
  <c r="AD15" s="1"/>
  <c r="R71"/>
  <c r="X8"/>
  <c r="X11"/>
  <c r="AD29"/>
  <c r="AD30" s="1"/>
  <c r="B46"/>
  <c r="B55"/>
  <c r="I79"/>
  <c r="U79"/>
  <c r="U81"/>
  <c r="U83"/>
  <c r="S84"/>
  <c r="V84"/>
  <c r="Y84" s="1"/>
  <c r="E79"/>
  <c r="G79"/>
  <c r="K79"/>
  <c r="G80"/>
  <c r="Q80"/>
  <c r="S80"/>
  <c r="O81"/>
  <c r="W81" s="1"/>
  <c r="U82"/>
  <c r="S89"/>
  <c r="X38" l="1"/>
  <c r="Y8"/>
  <c r="Y38" s="1"/>
  <c r="W38"/>
  <c r="R114"/>
  <c r="W89"/>
  <c r="R102"/>
  <c r="AE38"/>
  <c r="AD8"/>
  <c r="AD9" s="1"/>
  <c r="T71"/>
  <c r="T72" s="1"/>
  <c r="R118" l="1"/>
  <c r="V102"/>
  <c r="Y102" s="1"/>
  <c r="R108"/>
  <c r="R116" s="1"/>
  <c r="S102"/>
  <c r="AD38"/>
  <c r="AG9"/>
  <c r="W102" l="1"/>
  <c r="S108"/>
  <c r="G7" i="18"/>
  <c r="S116" i="2" l="1"/>
  <c r="S118" s="1"/>
  <c r="I3" i="8" l="1"/>
  <c r="D14" i="15" l="1"/>
  <c r="E14"/>
  <c r="F14"/>
  <c r="AO10" i="14"/>
  <c r="D26" i="16" l="1"/>
  <c r="F22"/>
  <c r="E22"/>
  <c r="D22"/>
  <c r="D9" i="9" l="1"/>
  <c r="D7"/>
  <c r="D6"/>
  <c r="D10"/>
  <c r="I92" i="3" l="1"/>
  <c r="H92"/>
  <c r="H107" i="14" l="1"/>
  <c r="F107"/>
  <c r="S91"/>
  <c r="S90"/>
  <c r="S89"/>
  <c r="S88"/>
  <c r="S87"/>
  <c r="S86"/>
  <c r="O91" l="1"/>
  <c r="O90"/>
  <c r="O86"/>
  <c r="O85"/>
  <c r="M91"/>
  <c r="M90"/>
  <c r="M89"/>
  <c r="M88"/>
  <c r="M86"/>
  <c r="M85"/>
  <c r="K90"/>
  <c r="K88"/>
  <c r="K87"/>
  <c r="K86"/>
  <c r="K85"/>
  <c r="I91"/>
  <c r="I90"/>
  <c r="I89"/>
  <c r="I88"/>
  <c r="I87"/>
  <c r="G91"/>
  <c r="G90"/>
  <c r="G89"/>
  <c r="G88"/>
  <c r="G87"/>
  <c r="E91"/>
  <c r="E90"/>
  <c r="E89"/>
  <c r="E88"/>
  <c r="E87"/>
  <c r="E85"/>
  <c r="Q90" l="1"/>
  <c r="E8" i="8" l="1"/>
  <c r="F8" s="1"/>
  <c r="E10"/>
  <c r="F10" s="1"/>
  <c r="U18" i="14" l="1"/>
  <c r="P18"/>
  <c r="O18"/>
  <c r="P57" i="18" l="1"/>
  <c r="P40"/>
  <c r="P41"/>
  <c r="P42"/>
  <c r="E122" i="4"/>
  <c r="E121"/>
  <c r="E120"/>
  <c r="E117"/>
  <c r="E116"/>
  <c r="E114"/>
  <c r="E113"/>
  <c r="E112"/>
  <c r="E74"/>
  <c r="E68"/>
  <c r="J69" i="8"/>
  <c r="K69"/>
  <c r="I67"/>
  <c r="E41" i="20"/>
  <c r="E33"/>
  <c r="E29"/>
  <c r="E6"/>
  <c r="I58"/>
  <c r="I51"/>
  <c r="I49"/>
  <c r="I48"/>
  <c r="I47"/>
  <c r="I46"/>
  <c r="I35"/>
  <c r="I36"/>
  <c r="I37"/>
  <c r="I38"/>
  <c r="I39"/>
  <c r="I7" i="18"/>
  <c r="J7" s="1"/>
  <c r="K7" s="1"/>
  <c r="F7"/>
  <c r="C4"/>
  <c r="D4"/>
  <c r="E4"/>
  <c r="F4"/>
  <c r="H4"/>
  <c r="I4"/>
  <c r="O7"/>
  <c r="E123" i="4" s="1"/>
  <c r="O4" i="18"/>
  <c r="AI8" i="14"/>
  <c r="E40" i="20" l="1"/>
  <c r="E52" s="1"/>
  <c r="J4" i="18"/>
  <c r="G4"/>
  <c r="E118" i="4"/>
  <c r="E115"/>
  <c r="G19" i="3"/>
  <c r="F23"/>
  <c r="F25"/>
  <c r="F27"/>
  <c r="F29"/>
  <c r="F31"/>
  <c r="F21"/>
  <c r="F19" s="1"/>
  <c r="F11"/>
  <c r="F13"/>
  <c r="F15"/>
  <c r="F17"/>
  <c r="F9"/>
  <c r="G121"/>
  <c r="G101"/>
  <c r="G97"/>
  <c r="G82"/>
  <c r="F82"/>
  <c r="G93"/>
  <c r="I93" s="1"/>
  <c r="F57"/>
  <c r="G57"/>
  <c r="F37"/>
  <c r="F33"/>
  <c r="G7"/>
  <c r="D29"/>
  <c r="E29" s="1"/>
  <c r="I29" s="1"/>
  <c r="G5" l="1"/>
  <c r="H29"/>
  <c r="K4" i="18"/>
  <c r="G58" i="3"/>
  <c r="G38"/>
  <c r="G34"/>
  <c r="G30"/>
  <c r="I30" s="1"/>
  <c r="D4" i="9" l="1"/>
  <c r="F70" i="3"/>
  <c r="F68" s="1"/>
  <c r="G70"/>
  <c r="P54" i="14"/>
  <c r="P66"/>
  <c r="P109"/>
  <c r="R109" s="1"/>
  <c r="Q109"/>
  <c r="P121"/>
  <c r="AA120"/>
  <c r="S120"/>
  <c r="Y119"/>
  <c r="E14" i="21" s="1"/>
  <c r="X119" i="14"/>
  <c r="I119"/>
  <c r="Q118"/>
  <c r="P118"/>
  <c r="A118"/>
  <c r="U118" s="1"/>
  <c r="Q117"/>
  <c r="P117"/>
  <c r="R117" s="1"/>
  <c r="A117"/>
  <c r="U117" s="1"/>
  <c r="Q116"/>
  <c r="P116"/>
  <c r="A116"/>
  <c r="U116" s="1"/>
  <c r="Q115"/>
  <c r="P115"/>
  <c r="Y114"/>
  <c r="X114"/>
  <c r="AH44" s="1"/>
  <c r="N114"/>
  <c r="N120" s="1"/>
  <c r="M114"/>
  <c r="M120" s="1"/>
  <c r="L114"/>
  <c r="L120" s="1"/>
  <c r="J114"/>
  <c r="J120" s="1"/>
  <c r="H114"/>
  <c r="H120" s="1"/>
  <c r="E114"/>
  <c r="E120" s="1"/>
  <c r="D114"/>
  <c r="D120" s="1"/>
  <c r="Q113"/>
  <c r="P113"/>
  <c r="R113" s="1"/>
  <c r="Z112"/>
  <c r="W112"/>
  <c r="Q112"/>
  <c r="P112"/>
  <c r="Z111"/>
  <c r="W111"/>
  <c r="P111"/>
  <c r="P110"/>
  <c r="R110" s="1"/>
  <c r="Q107"/>
  <c r="P107"/>
  <c r="P77"/>
  <c r="P72"/>
  <c r="Q71"/>
  <c r="S71" s="1"/>
  <c r="P71"/>
  <c r="P69"/>
  <c r="Q68"/>
  <c r="P68"/>
  <c r="R61"/>
  <c r="P60"/>
  <c r="Q59"/>
  <c r="P59"/>
  <c r="R58"/>
  <c r="P57"/>
  <c r="Q56"/>
  <c r="P56"/>
  <c r="R52"/>
  <c r="P51"/>
  <c r="Q50"/>
  <c r="P50"/>
  <c r="X121" l="1"/>
  <c r="P78" s="1"/>
  <c r="R78" s="1"/>
  <c r="G68" i="3"/>
  <c r="S56" i="14"/>
  <c r="R111"/>
  <c r="C109"/>
  <c r="D3" i="9"/>
  <c r="S59" i="14"/>
  <c r="P63"/>
  <c r="C13" i="18"/>
  <c r="E13"/>
  <c r="H13"/>
  <c r="F13"/>
  <c r="I13"/>
  <c r="X120" i="14"/>
  <c r="O13" i="18"/>
  <c r="P70" i="14"/>
  <c r="Q66"/>
  <c r="C12" i="18"/>
  <c r="F12"/>
  <c r="Y120" i="14"/>
  <c r="Q78" s="1"/>
  <c r="W114"/>
  <c r="O12" i="18"/>
  <c r="P79" i="14"/>
  <c r="P75"/>
  <c r="P58"/>
  <c r="P61"/>
  <c r="S68"/>
  <c r="P73"/>
  <c r="C107"/>
  <c r="C116"/>
  <c r="C117"/>
  <c r="M121"/>
  <c r="Q69"/>
  <c r="Q70" s="1"/>
  <c r="R107"/>
  <c r="R116"/>
  <c r="S50"/>
  <c r="P52"/>
  <c r="R63"/>
  <c r="R66"/>
  <c r="R67" s="1"/>
  <c r="R69"/>
  <c r="R72"/>
  <c r="I4" i="21" l="1"/>
  <c r="E8"/>
  <c r="E9"/>
  <c r="F14" i="18"/>
  <c r="S66" i="14"/>
  <c r="Y121"/>
  <c r="S78"/>
  <c r="S69"/>
  <c r="S70" s="1"/>
  <c r="D24" i="9" l="1"/>
  <c r="D21" s="1"/>
  <c r="E10" i="21"/>
  <c r="E7"/>
  <c r="E60" s="1"/>
  <c r="I74" i="14"/>
  <c r="L74"/>
  <c r="M74"/>
  <c r="N74"/>
  <c r="O74"/>
  <c r="F75"/>
  <c r="G75"/>
  <c r="H75"/>
  <c r="I75"/>
  <c r="L75"/>
  <c r="AI32" s="1"/>
  <c r="M75"/>
  <c r="N75"/>
  <c r="O75"/>
  <c r="D75"/>
  <c r="K78"/>
  <c r="K54"/>
  <c r="AH11" s="1"/>
  <c r="AG11" s="1"/>
  <c r="AF11" s="1"/>
  <c r="K57"/>
  <c r="AH14" s="1"/>
  <c r="AG14" s="1"/>
  <c r="AF14" s="1"/>
  <c r="K60"/>
  <c r="AH17" s="1"/>
  <c r="AG17" s="1"/>
  <c r="AF17" s="1"/>
  <c r="K66"/>
  <c r="AH23" s="1"/>
  <c r="AG23" s="1"/>
  <c r="AF23" s="1"/>
  <c r="K69"/>
  <c r="AH26" s="1"/>
  <c r="AG26" s="1"/>
  <c r="AF26" s="1"/>
  <c r="K72"/>
  <c r="AH29" s="1"/>
  <c r="AG29" s="1"/>
  <c r="AF29" s="1"/>
  <c r="K51"/>
  <c r="AH8" s="1"/>
  <c r="J75"/>
  <c r="E75"/>
  <c r="Q113" i="2"/>
  <c r="P113"/>
  <c r="O113"/>
  <c r="N113"/>
  <c r="M113"/>
  <c r="L113"/>
  <c r="K113"/>
  <c r="V113"/>
  <c r="Y113" s="1"/>
  <c r="I113"/>
  <c r="G113"/>
  <c r="W113"/>
  <c r="Q116"/>
  <c r="P116"/>
  <c r="O108"/>
  <c r="O116" s="1"/>
  <c r="N108"/>
  <c r="N116" s="1"/>
  <c r="M108"/>
  <c r="M116" s="1"/>
  <c r="L108"/>
  <c r="L116" s="1"/>
  <c r="K108"/>
  <c r="K116" s="1"/>
  <c r="J108"/>
  <c r="I108"/>
  <c r="I116" s="1"/>
  <c r="H108"/>
  <c r="G108"/>
  <c r="G116" s="1"/>
  <c r="F108"/>
  <c r="E108"/>
  <c r="H16" i="17" s="1"/>
  <c r="D108" i="2"/>
  <c r="N16" i="17" l="1"/>
  <c r="G8" i="21"/>
  <c r="G7" s="1"/>
  <c r="D116" i="2"/>
  <c r="H17" i="17"/>
  <c r="E116" i="2"/>
  <c r="E118" s="1"/>
  <c r="C113"/>
  <c r="W114"/>
  <c r="J116"/>
  <c r="H116"/>
  <c r="F116"/>
  <c r="C106"/>
  <c r="AG8" i="14"/>
  <c r="AF8" s="1"/>
  <c r="C107" i="2"/>
  <c r="C104"/>
  <c r="C105"/>
  <c r="K63" i="14"/>
  <c r="G118" i="2"/>
  <c r="I118"/>
  <c r="K118"/>
  <c r="M118"/>
  <c r="O118"/>
  <c r="E46" i="4" l="1"/>
  <c r="G60" i="21"/>
  <c r="N17" i="17"/>
  <c r="G9" i="21"/>
  <c r="K75" i="14"/>
  <c r="AH32" s="1"/>
  <c r="AF32" s="1"/>
  <c r="AH20"/>
  <c r="AG20" s="1"/>
  <c r="AF20" s="1"/>
  <c r="C108" i="2"/>
  <c r="G84" i="21" l="1"/>
  <c r="G70"/>
  <c r="G10"/>
  <c r="E47" i="4"/>
  <c r="G41" i="15"/>
  <c r="AE33" i="14"/>
  <c r="AE24"/>
  <c r="AE18"/>
  <c r="AE15"/>
  <c r="AE12"/>
  <c r="AE9"/>
  <c r="O76"/>
  <c r="N76"/>
  <c r="M76"/>
  <c r="L76"/>
  <c r="I76"/>
  <c r="O79"/>
  <c r="N79"/>
  <c r="M79"/>
  <c r="L79"/>
  <c r="J79"/>
  <c r="G79"/>
  <c r="F79"/>
  <c r="E79"/>
  <c r="D79"/>
  <c r="O73"/>
  <c r="N73"/>
  <c r="M73"/>
  <c r="L73"/>
  <c r="J73"/>
  <c r="I73"/>
  <c r="E73"/>
  <c r="D73"/>
  <c r="O70"/>
  <c r="N70"/>
  <c r="M70"/>
  <c r="L70"/>
  <c r="J70"/>
  <c r="I70"/>
  <c r="H70"/>
  <c r="G70"/>
  <c r="E70"/>
  <c r="D70"/>
  <c r="O67"/>
  <c r="N67"/>
  <c r="M67"/>
  <c r="L67"/>
  <c r="I67"/>
  <c r="H67"/>
  <c r="G67"/>
  <c r="F67"/>
  <c r="E67"/>
  <c r="D67"/>
  <c r="O64"/>
  <c r="N64"/>
  <c r="M64"/>
  <c r="L64"/>
  <c r="I64"/>
  <c r="G64"/>
  <c r="F64"/>
  <c r="E64"/>
  <c r="O61"/>
  <c r="N61"/>
  <c r="M61"/>
  <c r="L61"/>
  <c r="J61"/>
  <c r="I61"/>
  <c r="H61"/>
  <c r="G61"/>
  <c r="F61"/>
  <c r="O58"/>
  <c r="N58"/>
  <c r="M58"/>
  <c r="L58"/>
  <c r="J58"/>
  <c r="I58"/>
  <c r="H58"/>
  <c r="G58"/>
  <c r="F58"/>
  <c r="O55"/>
  <c r="N55"/>
  <c r="M55"/>
  <c r="L55"/>
  <c r="J55"/>
  <c r="I55"/>
  <c r="H55"/>
  <c r="G55"/>
  <c r="F55"/>
  <c r="D55"/>
  <c r="O52"/>
  <c r="N52"/>
  <c r="M52"/>
  <c r="L52"/>
  <c r="J52"/>
  <c r="I52"/>
  <c r="H52"/>
  <c r="G52"/>
  <c r="F52"/>
  <c r="D52"/>
  <c r="B78"/>
  <c r="B72"/>
  <c r="B69"/>
  <c r="B66"/>
  <c r="B63"/>
  <c r="B60"/>
  <c r="B57"/>
  <c r="B54"/>
  <c r="B51"/>
  <c r="AJ45"/>
  <c r="P45"/>
  <c r="O45"/>
  <c r="N45"/>
  <c r="M45"/>
  <c r="K45"/>
  <c r="J45"/>
  <c r="G45"/>
  <c r="F45"/>
  <c r="E45"/>
  <c r="D45"/>
  <c r="AA33"/>
  <c r="AA8"/>
  <c r="AA35" s="1"/>
  <c r="E125" i="4"/>
  <c r="Z8" i="14"/>
  <c r="Z35" s="1"/>
  <c r="Y8"/>
  <c r="Y35" s="1"/>
  <c r="AI35"/>
  <c r="AH35"/>
  <c r="AG35"/>
  <c r="AD35"/>
  <c r="AC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E98" i="4" s="1"/>
  <c r="F35" i="14"/>
  <c r="E97" i="4" s="1"/>
  <c r="E35" i="14"/>
  <c r="D35"/>
  <c r="C35"/>
  <c r="B35"/>
  <c r="AJ34"/>
  <c r="AI34"/>
  <c r="T34"/>
  <c r="S34"/>
  <c r="G34"/>
  <c r="F34"/>
  <c r="AJ33"/>
  <c r="AI33"/>
  <c r="AG33"/>
  <c r="AF33"/>
  <c r="AD33"/>
  <c r="AC33"/>
  <c r="X33"/>
  <c r="W33"/>
  <c r="V33"/>
  <c r="U33"/>
  <c r="T33"/>
  <c r="S33"/>
  <c r="P33"/>
  <c r="O33"/>
  <c r="I33"/>
  <c r="H33"/>
  <c r="G33"/>
  <c r="F33"/>
  <c r="E33"/>
  <c r="D33"/>
  <c r="C33"/>
  <c r="B33"/>
  <c r="AJ30"/>
  <c r="AI30"/>
  <c r="AF30"/>
  <c r="T30"/>
  <c r="S30"/>
  <c r="R30"/>
  <c r="Q30"/>
  <c r="I30"/>
  <c r="H30"/>
  <c r="G30"/>
  <c r="F30"/>
  <c r="E30"/>
  <c r="D30"/>
  <c r="AJ27"/>
  <c r="AI27"/>
  <c r="AF27"/>
  <c r="X27"/>
  <c r="W27"/>
  <c r="T27"/>
  <c r="S27"/>
  <c r="R27"/>
  <c r="Q27"/>
  <c r="P27"/>
  <c r="O27"/>
  <c r="I27"/>
  <c r="H27"/>
  <c r="G27"/>
  <c r="F27"/>
  <c r="AJ24"/>
  <c r="AI24"/>
  <c r="AF24"/>
  <c r="X24"/>
  <c r="W24"/>
  <c r="V24"/>
  <c r="U24"/>
  <c r="T24"/>
  <c r="S24"/>
  <c r="R24"/>
  <c r="Q24"/>
  <c r="P24"/>
  <c r="O24"/>
  <c r="I24"/>
  <c r="H24"/>
  <c r="G24"/>
  <c r="F24"/>
  <c r="E24"/>
  <c r="D24"/>
  <c r="C24"/>
  <c r="B24"/>
  <c r="AJ21"/>
  <c r="AI21"/>
  <c r="AF21"/>
  <c r="X21"/>
  <c r="W21"/>
  <c r="V21"/>
  <c r="U21"/>
  <c r="T21"/>
  <c r="S21"/>
  <c r="P21"/>
  <c r="O21"/>
  <c r="G21"/>
  <c r="F21"/>
  <c r="E21"/>
  <c r="D21"/>
  <c r="AJ15"/>
  <c r="AI15"/>
  <c r="AF15"/>
  <c r="X15"/>
  <c r="W15"/>
  <c r="T15"/>
  <c r="S15"/>
  <c r="R15"/>
  <c r="Q15"/>
  <c r="P15"/>
  <c r="O15"/>
  <c r="I15"/>
  <c r="H15"/>
  <c r="G15"/>
  <c r="F15"/>
  <c r="E15"/>
  <c r="D15"/>
  <c r="AI12"/>
  <c r="AF12"/>
  <c r="X12"/>
  <c r="W12"/>
  <c r="V12"/>
  <c r="U12"/>
  <c r="T12"/>
  <c r="S12"/>
  <c r="R12"/>
  <c r="Q12"/>
  <c r="P12"/>
  <c r="O12"/>
  <c r="L12"/>
  <c r="K12"/>
  <c r="J12"/>
  <c r="G12"/>
  <c r="F12"/>
  <c r="E12"/>
  <c r="D12"/>
  <c r="AI9"/>
  <c r="AF9"/>
  <c r="X9"/>
  <c r="W9"/>
  <c r="T9"/>
  <c r="S9"/>
  <c r="R9"/>
  <c r="Q9"/>
  <c r="P9"/>
  <c r="O9"/>
  <c r="N9"/>
  <c r="M9"/>
  <c r="L9"/>
  <c r="I9"/>
  <c r="H9"/>
  <c r="G9"/>
  <c r="F9"/>
  <c r="E9"/>
  <c r="D9"/>
  <c r="I31" i="20"/>
  <c r="I19"/>
  <c r="I18"/>
  <c r="I17"/>
  <c r="I16"/>
  <c r="I15"/>
  <c r="I14"/>
  <c r="P50" i="18"/>
  <c r="P49"/>
  <c r="P48"/>
  <c r="P47"/>
  <c r="P46"/>
  <c r="P36"/>
  <c r="Q36" s="1"/>
  <c r="L49"/>
  <c r="L48"/>
  <c r="L47"/>
  <c r="L46"/>
  <c r="P19"/>
  <c r="O16"/>
  <c r="O15"/>
  <c r="I16"/>
  <c r="F16"/>
  <c r="E16"/>
  <c r="D16"/>
  <c r="C16"/>
  <c r="I15"/>
  <c r="F15"/>
  <c r="E15"/>
  <c r="D15"/>
  <c r="C15"/>
  <c r="E108" i="4"/>
  <c r="F50" i="17"/>
  <c r="E50"/>
  <c r="D50"/>
  <c r="C50"/>
  <c r="F48"/>
  <c r="E48"/>
  <c r="D48"/>
  <c r="C48"/>
  <c r="E44" i="4"/>
  <c r="E43"/>
  <c r="K52" i="17"/>
  <c r="E52"/>
  <c r="D52"/>
  <c r="C52"/>
  <c r="I20"/>
  <c r="J20" s="1"/>
  <c r="F20"/>
  <c r="E20"/>
  <c r="D20"/>
  <c r="I19"/>
  <c r="J19" s="1"/>
  <c r="F19"/>
  <c r="E19"/>
  <c r="D19"/>
  <c r="D67" i="20"/>
  <c r="H59"/>
  <c r="H56"/>
  <c r="J56" s="1"/>
  <c r="H55"/>
  <c r="J55" s="1"/>
  <c r="J53"/>
  <c r="H51"/>
  <c r="H49"/>
  <c r="J49" s="1"/>
  <c r="H48"/>
  <c r="J48" s="1"/>
  <c r="H47"/>
  <c r="J47" s="1"/>
  <c r="H46"/>
  <c r="J46" s="1"/>
  <c r="H45"/>
  <c r="H44"/>
  <c r="G41"/>
  <c r="F41"/>
  <c r="D41"/>
  <c r="C41"/>
  <c r="H39"/>
  <c r="J39" s="1"/>
  <c r="H38"/>
  <c r="J38" s="1"/>
  <c r="H37"/>
  <c r="J37" s="1"/>
  <c r="H36"/>
  <c r="J36" s="1"/>
  <c r="H35"/>
  <c r="J35" s="1"/>
  <c r="H34"/>
  <c r="I50" i="21" s="1"/>
  <c r="G33" i="20"/>
  <c r="F33"/>
  <c r="D33"/>
  <c r="C33"/>
  <c r="B33"/>
  <c r="H32"/>
  <c r="I48" i="21" s="1"/>
  <c r="J48" s="1"/>
  <c r="P48" s="1"/>
  <c r="H31" i="20"/>
  <c r="J31" s="1"/>
  <c r="H30"/>
  <c r="I46" i="21" s="1"/>
  <c r="G29" i="20"/>
  <c r="F29"/>
  <c r="D29"/>
  <c r="C29"/>
  <c r="B29"/>
  <c r="H28"/>
  <c r="I44" i="21" s="1"/>
  <c r="H27" i="20"/>
  <c r="I43" i="21" s="1"/>
  <c r="H26" i="20"/>
  <c r="I42" i="21" s="1"/>
  <c r="H25" i="20"/>
  <c r="I41" i="21" s="1"/>
  <c r="H24" i="20"/>
  <c r="I38" i="21" s="1"/>
  <c r="J38" s="1"/>
  <c r="P38" s="1"/>
  <c r="B23" i="20"/>
  <c r="H22"/>
  <c r="I34" i="21" s="1"/>
  <c r="J34" s="1"/>
  <c r="P34" s="1"/>
  <c r="H21" i="20"/>
  <c r="I33" i="21" s="1"/>
  <c r="H20" i="20"/>
  <c r="I32" i="21" s="1"/>
  <c r="J32" s="1"/>
  <c r="H19" i="20"/>
  <c r="J19" s="1"/>
  <c r="H18"/>
  <c r="J18" s="1"/>
  <c r="H17"/>
  <c r="J17" s="1"/>
  <c r="H16"/>
  <c r="J16" s="1"/>
  <c r="H15"/>
  <c r="J15" s="1"/>
  <c r="H14"/>
  <c r="J14" s="1"/>
  <c r="H13"/>
  <c r="H12"/>
  <c r="I24" i="21" s="1"/>
  <c r="J24" s="1"/>
  <c r="H11" i="20"/>
  <c r="I23" i="21" s="1"/>
  <c r="H10" i="20"/>
  <c r="J10" s="1"/>
  <c r="H8"/>
  <c r="H7"/>
  <c r="G6"/>
  <c r="G40" s="1"/>
  <c r="F6"/>
  <c r="F40" s="1"/>
  <c r="D6"/>
  <c r="C6"/>
  <c r="C40" s="1"/>
  <c r="J57" i="18"/>
  <c r="G57"/>
  <c r="K57" s="1"/>
  <c r="J55"/>
  <c r="G55"/>
  <c r="J53"/>
  <c r="G53"/>
  <c r="J51"/>
  <c r="G51"/>
  <c r="K51" s="1"/>
  <c r="Q50"/>
  <c r="J50"/>
  <c r="G50"/>
  <c r="K50" s="1"/>
  <c r="Q49"/>
  <c r="J49"/>
  <c r="G49"/>
  <c r="Q48"/>
  <c r="J48"/>
  <c r="G48"/>
  <c r="K48" s="1"/>
  <c r="M48" s="1"/>
  <c r="Q47"/>
  <c r="J47"/>
  <c r="G47"/>
  <c r="Q46"/>
  <c r="J46"/>
  <c r="G46"/>
  <c r="K46" s="1"/>
  <c r="M46" s="1"/>
  <c r="O45"/>
  <c r="J45"/>
  <c r="I45"/>
  <c r="H45"/>
  <c r="F45"/>
  <c r="E45"/>
  <c r="D45"/>
  <c r="C45"/>
  <c r="J43"/>
  <c r="G43"/>
  <c r="J42"/>
  <c r="G42"/>
  <c r="K42" s="1"/>
  <c r="Q41"/>
  <c r="J41"/>
  <c r="G41"/>
  <c r="K41" s="1"/>
  <c r="Q40"/>
  <c r="J40"/>
  <c r="G40"/>
  <c r="K40" s="1"/>
  <c r="J39"/>
  <c r="G39"/>
  <c r="O38"/>
  <c r="I38"/>
  <c r="H38"/>
  <c r="J38" s="1"/>
  <c r="F38"/>
  <c r="E38"/>
  <c r="D38"/>
  <c r="C38"/>
  <c r="J37"/>
  <c r="G37"/>
  <c r="K37" s="1"/>
  <c r="J36"/>
  <c r="G36"/>
  <c r="K36" s="1"/>
  <c r="J35"/>
  <c r="G35"/>
  <c r="K35" s="1"/>
  <c r="O34"/>
  <c r="J34"/>
  <c r="I34"/>
  <c r="H34"/>
  <c r="F34"/>
  <c r="E34"/>
  <c r="D34"/>
  <c r="C34"/>
  <c r="G34" s="1"/>
  <c r="J33"/>
  <c r="G33"/>
  <c r="J32"/>
  <c r="G32"/>
  <c r="J31"/>
  <c r="G31"/>
  <c r="J30"/>
  <c r="G30"/>
  <c r="O29"/>
  <c r="Q29" s="1"/>
  <c r="Q28"/>
  <c r="Q27"/>
  <c r="O26"/>
  <c r="J25"/>
  <c r="G25"/>
  <c r="J24"/>
  <c r="G24"/>
  <c r="O23"/>
  <c r="Q23" s="1"/>
  <c r="M23"/>
  <c r="Q22"/>
  <c r="J22"/>
  <c r="G22"/>
  <c r="K22" s="1"/>
  <c r="M22" s="1"/>
  <c r="Q21"/>
  <c r="J21"/>
  <c r="G21"/>
  <c r="K21" s="1"/>
  <c r="M21" s="1"/>
  <c r="J20"/>
  <c r="G20"/>
  <c r="Q19"/>
  <c r="J19"/>
  <c r="G19"/>
  <c r="K19" s="1"/>
  <c r="Q17"/>
  <c r="J16"/>
  <c r="G16"/>
  <c r="K16" s="1"/>
  <c r="I17"/>
  <c r="F17"/>
  <c r="D17"/>
  <c r="G15"/>
  <c r="J13"/>
  <c r="O14"/>
  <c r="C14"/>
  <c r="O11"/>
  <c r="F11"/>
  <c r="G52" i="17"/>
  <c r="G50"/>
  <c r="G48"/>
  <c r="G46"/>
  <c r="J46" s="1"/>
  <c r="M46" s="1"/>
  <c r="G45"/>
  <c r="J45" s="1"/>
  <c r="M45" s="1"/>
  <c r="G44"/>
  <c r="J44" s="1"/>
  <c r="M44" s="1"/>
  <c r="G43"/>
  <c r="J43" s="1"/>
  <c r="M43" s="1"/>
  <c r="G42"/>
  <c r="J42" s="1"/>
  <c r="M42" s="1"/>
  <c r="G41"/>
  <c r="J41" s="1"/>
  <c r="M41" s="1"/>
  <c r="K40"/>
  <c r="M40" s="1"/>
  <c r="I40"/>
  <c r="H40"/>
  <c r="F40"/>
  <c r="E40"/>
  <c r="D40"/>
  <c r="C40"/>
  <c r="G38"/>
  <c r="G37"/>
  <c r="G36"/>
  <c r="G35"/>
  <c r="G34"/>
  <c r="K33"/>
  <c r="H33"/>
  <c r="F33"/>
  <c r="E33"/>
  <c r="D33"/>
  <c r="G32"/>
  <c r="G31"/>
  <c r="G30"/>
  <c r="K29"/>
  <c r="H29"/>
  <c r="G28"/>
  <c r="G27"/>
  <c r="G26"/>
  <c r="G25"/>
  <c r="G24"/>
  <c r="G23"/>
  <c r="G22"/>
  <c r="N20"/>
  <c r="G20"/>
  <c r="I21"/>
  <c r="J21" s="1"/>
  <c r="F21"/>
  <c r="D21"/>
  <c r="K18"/>
  <c r="H18"/>
  <c r="F18"/>
  <c r="E18"/>
  <c r="D18"/>
  <c r="C18"/>
  <c r="K15"/>
  <c r="H15"/>
  <c r="F15"/>
  <c r="E15"/>
  <c r="E39" s="1"/>
  <c r="D15"/>
  <c r="C15"/>
  <c r="C39" s="1"/>
  <c r="AF35" i="14" l="1"/>
  <c r="K39" i="18"/>
  <c r="D50" i="21" s="1"/>
  <c r="J50" s="1"/>
  <c r="P50" s="1"/>
  <c r="O44" i="18"/>
  <c r="F44"/>
  <c r="E110" i="4"/>
  <c r="J40" i="17"/>
  <c r="N41"/>
  <c r="N42"/>
  <c r="N43"/>
  <c r="N44"/>
  <c r="N45"/>
  <c r="N46"/>
  <c r="P46" s="1"/>
  <c r="F74" i="21"/>
  <c r="M52" i="17"/>
  <c r="E103" i="4"/>
  <c r="E104" s="1"/>
  <c r="D4" i="21"/>
  <c r="E52" i="4"/>
  <c r="I49" i="21"/>
  <c r="I45"/>
  <c r="J46"/>
  <c r="H29" i="20"/>
  <c r="B40"/>
  <c r="J33" i="21"/>
  <c r="I35"/>
  <c r="J23"/>
  <c r="I25"/>
  <c r="J25" s="1"/>
  <c r="I7"/>
  <c r="N29" i="17"/>
  <c r="I77" i="21"/>
  <c r="J77" s="1"/>
  <c r="N33" i="17"/>
  <c r="H23" i="20"/>
  <c r="K31" i="18"/>
  <c r="D42" i="21" s="1"/>
  <c r="J42" s="1"/>
  <c r="P42" s="1"/>
  <c r="G45" i="18"/>
  <c r="K45" s="1"/>
  <c r="K47"/>
  <c r="M47" s="1"/>
  <c r="K49"/>
  <c r="M49" s="1"/>
  <c r="K43"/>
  <c r="D59" i="21" s="1"/>
  <c r="K33" i="18"/>
  <c r="D44" i="21" s="1"/>
  <c r="J44" s="1"/>
  <c r="P44" s="1"/>
  <c r="K32" i="18"/>
  <c r="D43" i="21" s="1"/>
  <c r="J43" s="1"/>
  <c r="P43" s="1"/>
  <c r="K30" i="18"/>
  <c r="D41" i="21" s="1"/>
  <c r="J41" s="1"/>
  <c r="P41" s="1"/>
  <c r="J26" i="18"/>
  <c r="K25"/>
  <c r="D27" i="21" s="1"/>
  <c r="J27" s="1"/>
  <c r="P27" s="1"/>
  <c r="K20" i="18"/>
  <c r="D16" i="21" s="1"/>
  <c r="J16" s="1"/>
  <c r="P16" s="1"/>
  <c r="G38" i="18"/>
  <c r="K38" s="1"/>
  <c r="B75" i="14"/>
  <c r="E96" i="4"/>
  <c r="AE35" i="14"/>
  <c r="E119" i="4"/>
  <c r="K55" i="18"/>
  <c r="D71" i="21" s="1"/>
  <c r="N64" s="1"/>
  <c r="K53" i="18"/>
  <c r="D69" i="21" s="1"/>
  <c r="K39" i="17"/>
  <c r="H39"/>
  <c r="F39"/>
  <c r="D39"/>
  <c r="G29"/>
  <c r="E45" i="4"/>
  <c r="AH33" i="14"/>
  <c r="T36"/>
  <c r="AI36"/>
  <c r="S36"/>
  <c r="G36"/>
  <c r="F36"/>
  <c r="E105" i="4"/>
  <c r="E106"/>
  <c r="R75" i="14"/>
  <c r="E107" i="4"/>
  <c r="G52" i="20"/>
  <c r="G57" s="1"/>
  <c r="G60" s="1"/>
  <c r="F52"/>
  <c r="F57" s="1"/>
  <c r="I52" i="18"/>
  <c r="E52"/>
  <c r="D52"/>
  <c r="F52"/>
  <c r="O52"/>
  <c r="N40" i="17"/>
  <c r="AB8" i="14"/>
  <c r="AB35" s="1"/>
  <c r="H6" i="20"/>
  <c r="H33"/>
  <c r="H43"/>
  <c r="B41"/>
  <c r="H41" s="1"/>
  <c r="D40"/>
  <c r="H42"/>
  <c r="C52" i="18"/>
  <c r="H52"/>
  <c r="H50" i="20"/>
  <c r="I68" i="21" s="1"/>
  <c r="G17" i="18"/>
  <c r="G26"/>
  <c r="K24"/>
  <c r="D26" i="21" s="1"/>
  <c r="K34" i="18"/>
  <c r="J15"/>
  <c r="J17" s="1"/>
  <c r="G33" i="17"/>
  <c r="G40"/>
  <c r="G19"/>
  <c r="N19"/>
  <c r="N21" s="1"/>
  <c r="I60" i="21" l="1"/>
  <c r="I70" s="1"/>
  <c r="E101" i="4"/>
  <c r="E59"/>
  <c r="E61"/>
  <c r="E60"/>
  <c r="J45" i="21"/>
  <c r="P45" s="1"/>
  <c r="E62" i="4" s="1"/>
  <c r="P46" i="21"/>
  <c r="P33"/>
  <c r="J35"/>
  <c r="D49"/>
  <c r="J49" s="1"/>
  <c r="J59"/>
  <c r="P59" s="1"/>
  <c r="J26"/>
  <c r="J28" s="1"/>
  <c r="D28"/>
  <c r="D52" i="20"/>
  <c r="K66" i="21"/>
  <c r="O54" i="18"/>
  <c r="O56" s="1"/>
  <c r="E68" i="21"/>
  <c r="D68" i="20"/>
  <c r="H49" i="17"/>
  <c r="H51" s="1"/>
  <c r="H52" s="1"/>
  <c r="N52" s="1"/>
  <c r="K49"/>
  <c r="K51" s="1"/>
  <c r="E48" i="4"/>
  <c r="E38"/>
  <c r="F60" i="20"/>
  <c r="H58"/>
  <c r="J58" s="1"/>
  <c r="C52"/>
  <c r="J52" i="18"/>
  <c r="G52"/>
  <c r="F54"/>
  <c r="F56" s="1"/>
  <c r="F58" s="1"/>
  <c r="H52" i="20"/>
  <c r="H40"/>
  <c r="B52"/>
  <c r="K26" i="18"/>
  <c r="K15"/>
  <c r="G21" i="17"/>
  <c r="N18"/>
  <c r="N15"/>
  <c r="G18"/>
  <c r="E37" i="4"/>
  <c r="G15" i="17"/>
  <c r="K53" l="1"/>
  <c r="K54" s="1"/>
  <c r="G39"/>
  <c r="P35" i="21"/>
  <c r="E50" i="4"/>
  <c r="E53" s="1"/>
  <c r="N39" i="17"/>
  <c r="K52" i="18"/>
  <c r="D68" i="21" s="1"/>
  <c r="K64" s="1"/>
  <c r="K65"/>
  <c r="E70"/>
  <c r="E84"/>
  <c r="E39" i="4"/>
  <c r="F60" i="18"/>
  <c r="F59"/>
  <c r="K17"/>
  <c r="O58"/>
  <c r="O59" l="1"/>
  <c r="E124" i="4" s="1"/>
  <c r="K55" i="17"/>
  <c r="G74" i="21"/>
  <c r="G73"/>
  <c r="H53" i="17"/>
  <c r="O60" i="18"/>
  <c r="H55" i="17" l="1"/>
  <c r="H54"/>
  <c r="G75" i="21"/>
  <c r="G76" s="1"/>
  <c r="E73"/>
  <c r="N65"/>
  <c r="F73"/>
  <c r="F75" l="1"/>
  <c r="P67"/>
  <c r="P65"/>
  <c r="E75"/>
  <c r="E9" i="6" l="1"/>
  <c r="E26" i="16" l="1"/>
  <c r="F26"/>
  <c r="Q42" i="18" l="1"/>
  <c r="G20" i="16"/>
  <c r="G21" l="1"/>
  <c r="G69" i="3" l="1"/>
  <c r="I63" i="8"/>
  <c r="M92"/>
  <c r="I89"/>
  <c r="I88"/>
  <c r="I87"/>
  <c r="I86"/>
  <c r="I85"/>
  <c r="I84"/>
  <c r="I83"/>
  <c r="I82"/>
  <c r="I81"/>
  <c r="I80"/>
  <c r="I79"/>
  <c r="L78"/>
  <c r="K78"/>
  <c r="K90" s="1"/>
  <c r="J90"/>
  <c r="I77"/>
  <c r="I76"/>
  <c r="I75"/>
  <c r="I74"/>
  <c r="I73"/>
  <c r="I72"/>
  <c r="I71"/>
  <c r="I70"/>
  <c r="I68"/>
  <c r="I66"/>
  <c r="I65"/>
  <c r="I62"/>
  <c r="I61"/>
  <c r="I60"/>
  <c r="I59"/>
  <c r="I58"/>
  <c r="I57"/>
  <c r="I56"/>
  <c r="I55"/>
  <c r="K54"/>
  <c r="I53"/>
  <c r="I52"/>
  <c r="I51"/>
  <c r="I49"/>
  <c r="I48"/>
  <c r="I47"/>
  <c r="I46"/>
  <c r="I41"/>
  <c r="I44"/>
  <c r="I40"/>
  <c r="I39"/>
  <c r="I38"/>
  <c r="I37"/>
  <c r="I36"/>
  <c r="I35"/>
  <c r="I34"/>
  <c r="I33"/>
  <c r="I32"/>
  <c r="K31"/>
  <c r="J31"/>
  <c r="J64" s="1"/>
  <c r="M30"/>
  <c r="I27"/>
  <c r="I26"/>
  <c r="I24"/>
  <c r="I23"/>
  <c r="I22"/>
  <c r="I21"/>
  <c r="I20"/>
  <c r="I19"/>
  <c r="I18"/>
  <c r="K17"/>
  <c r="K28" s="1"/>
  <c r="K29" s="1"/>
  <c r="J28"/>
  <c r="I16"/>
  <c r="I15"/>
  <c r="I14"/>
  <c r="I13"/>
  <c r="I11"/>
  <c r="I10"/>
  <c r="I8"/>
  <c r="I7"/>
  <c r="I6"/>
  <c r="I5"/>
  <c r="M43" i="15"/>
  <c r="J37"/>
  <c r="J38"/>
  <c r="J39"/>
  <c r="J40"/>
  <c r="J41"/>
  <c r="J36"/>
  <c r="M35"/>
  <c r="K41"/>
  <c r="L50" i="18" s="1"/>
  <c r="G40" i="15"/>
  <c r="K40"/>
  <c r="G39"/>
  <c r="K39"/>
  <c r="J35"/>
  <c r="G38"/>
  <c r="K38"/>
  <c r="G37"/>
  <c r="K37"/>
  <c r="G36"/>
  <c r="K36"/>
  <c r="I35"/>
  <c r="H35"/>
  <c r="G35"/>
  <c r="K35"/>
  <c r="F35"/>
  <c r="E35"/>
  <c r="D35"/>
  <c r="C35"/>
  <c r="K35" i="16"/>
  <c r="K37"/>
  <c r="K38"/>
  <c r="G35"/>
  <c r="G36"/>
  <c r="G37"/>
  <c r="L37"/>
  <c r="O43" i="17" s="1"/>
  <c r="P43" s="1"/>
  <c r="G38" i="16"/>
  <c r="L38"/>
  <c r="O44" i="17" s="1"/>
  <c r="P44" s="1"/>
  <c r="D33" i="16"/>
  <c r="E33"/>
  <c r="F33"/>
  <c r="C33"/>
  <c r="K25"/>
  <c r="K24"/>
  <c r="G25"/>
  <c r="G24"/>
  <c r="L24" s="1"/>
  <c r="O31" i="17" s="1"/>
  <c r="P31" s="1"/>
  <c r="G23" i="16"/>
  <c r="G22" s="1"/>
  <c r="C22"/>
  <c r="M12" i="15"/>
  <c r="M14"/>
  <c r="M11"/>
  <c r="P15" i="18" s="1"/>
  <c r="Q15" s="1"/>
  <c r="J26" i="15"/>
  <c r="G26"/>
  <c r="M88" i="8"/>
  <c r="G15" i="15"/>
  <c r="K15" s="1"/>
  <c r="G30"/>
  <c r="K30" s="1"/>
  <c r="G31"/>
  <c r="K31" s="1"/>
  <c r="L40" i="18" s="1"/>
  <c r="M40" s="1"/>
  <c r="G32" i="15"/>
  <c r="K32" s="1"/>
  <c r="L42" i="18" s="1"/>
  <c r="J47" i="15"/>
  <c r="K47"/>
  <c r="G47"/>
  <c r="J15"/>
  <c r="G45" i="16"/>
  <c r="G39"/>
  <c r="I33"/>
  <c r="K36"/>
  <c r="L36"/>
  <c r="O42" i="17" s="1"/>
  <c r="P42" s="1"/>
  <c r="L35" i="16"/>
  <c r="O41" i="17" s="1"/>
  <c r="P41" s="1"/>
  <c r="K34" i="16"/>
  <c r="G34"/>
  <c r="G33" s="1"/>
  <c r="L34"/>
  <c r="K30"/>
  <c r="G30"/>
  <c r="K29"/>
  <c r="G29"/>
  <c r="L29" s="1"/>
  <c r="K28"/>
  <c r="G28"/>
  <c r="L28" s="1"/>
  <c r="G19"/>
  <c r="G4"/>
  <c r="G89" i="3"/>
  <c r="G26"/>
  <c r="E28" i="6"/>
  <c r="C32"/>
  <c r="C28"/>
  <c r="D51" i="3"/>
  <c r="G30" i="6"/>
  <c r="G34"/>
  <c r="G35"/>
  <c r="G36"/>
  <c r="G38"/>
  <c r="G31"/>
  <c r="I32" i="20" s="1"/>
  <c r="J32" s="1"/>
  <c r="E82" i="8"/>
  <c r="E83"/>
  <c r="E84"/>
  <c r="E18"/>
  <c r="F18" s="1"/>
  <c r="M18" s="1"/>
  <c r="E19"/>
  <c r="F19" s="1"/>
  <c r="M19" s="1"/>
  <c r="E20"/>
  <c r="F20" s="1"/>
  <c r="M20" s="1"/>
  <c r="E21"/>
  <c r="F21" s="1"/>
  <c r="M21" s="1"/>
  <c r="E22"/>
  <c r="F22" s="1"/>
  <c r="M22" s="1"/>
  <c r="E27"/>
  <c r="F27" s="1"/>
  <c r="G37" i="6"/>
  <c r="G20" i="3"/>
  <c r="G12"/>
  <c r="G18"/>
  <c r="G16"/>
  <c r="G14"/>
  <c r="G10"/>
  <c r="G83"/>
  <c r="G73"/>
  <c r="G81"/>
  <c r="G79"/>
  <c r="G77"/>
  <c r="G75"/>
  <c r="F86" i="4"/>
  <c r="F88"/>
  <c r="G41" i="3"/>
  <c r="G43"/>
  <c r="G45"/>
  <c r="G49"/>
  <c r="G55"/>
  <c r="F55"/>
  <c r="F53"/>
  <c r="D13" i="9" s="1"/>
  <c r="F51" i="3"/>
  <c r="F49"/>
  <c r="F47"/>
  <c r="F45"/>
  <c r="F43"/>
  <c r="F41"/>
  <c r="G42" s="1"/>
  <c r="F39"/>
  <c r="F35"/>
  <c r="E33" i="9"/>
  <c r="D51"/>
  <c r="E69"/>
  <c r="E68"/>
  <c r="E66"/>
  <c r="E65"/>
  <c r="E61"/>
  <c r="E57"/>
  <c r="E56"/>
  <c r="E55"/>
  <c r="E39"/>
  <c r="E37"/>
  <c r="E34"/>
  <c r="E32"/>
  <c r="E31"/>
  <c r="E30"/>
  <c r="E29"/>
  <c r="E28"/>
  <c r="D11"/>
  <c r="D8"/>
  <c r="E4" i="4" s="1"/>
  <c r="D5" i="9"/>
  <c r="E3" i="4" s="1"/>
  <c r="I126" i="3"/>
  <c r="I124"/>
  <c r="G119"/>
  <c r="G117"/>
  <c r="G115"/>
  <c r="I115" s="1"/>
  <c r="I114"/>
  <c r="H114"/>
  <c r="G111"/>
  <c r="G109"/>
  <c r="G107"/>
  <c r="G105"/>
  <c r="G103"/>
  <c r="G99"/>
  <c r="G95"/>
  <c r="G91"/>
  <c r="G87"/>
  <c r="G71"/>
  <c r="E61"/>
  <c r="I61" s="1"/>
  <c r="E63"/>
  <c r="I63" s="1"/>
  <c r="G56"/>
  <c r="G54"/>
  <c r="G52"/>
  <c r="G50"/>
  <c r="G46"/>
  <c r="G44"/>
  <c r="G40"/>
  <c r="G36"/>
  <c r="G32"/>
  <c r="G28"/>
  <c r="G24"/>
  <c r="G22"/>
  <c r="F40" i="6"/>
  <c r="G47"/>
  <c r="G48"/>
  <c r="G50"/>
  <c r="G54"/>
  <c r="F32"/>
  <c r="F28"/>
  <c r="G55"/>
  <c r="G18"/>
  <c r="G17"/>
  <c r="G16"/>
  <c r="G15"/>
  <c r="G14"/>
  <c r="G13"/>
  <c r="E14" i="4"/>
  <c r="E15"/>
  <c r="E12"/>
  <c r="E11"/>
  <c r="E8"/>
  <c r="E9"/>
  <c r="E26"/>
  <c r="E28"/>
  <c r="E27"/>
  <c r="E23"/>
  <c r="E24"/>
  <c r="E20"/>
  <c r="E21"/>
  <c r="E19"/>
  <c r="D15"/>
  <c r="D14"/>
  <c r="F14" s="1"/>
  <c r="F31"/>
  <c r="F15"/>
  <c r="C14" i="15"/>
  <c r="G14" s="1"/>
  <c r="I14"/>
  <c r="H14"/>
  <c r="M84" i="8"/>
  <c r="M83"/>
  <c r="M82"/>
  <c r="M81"/>
  <c r="D97" i="4"/>
  <c r="D98"/>
  <c r="F98" s="1"/>
  <c r="K13" i="16"/>
  <c r="G13"/>
  <c r="G12"/>
  <c r="K12"/>
  <c r="H33"/>
  <c r="G45" i="6"/>
  <c r="M8" i="8"/>
  <c r="M10"/>
  <c r="M14"/>
  <c r="M16"/>
  <c r="M26"/>
  <c r="M27"/>
  <c r="M77"/>
  <c r="C26" i="16"/>
  <c r="G27"/>
  <c r="I12" i="15"/>
  <c r="J12" s="1"/>
  <c r="I11"/>
  <c r="F71" i="4"/>
  <c r="F12" i="15"/>
  <c r="G12" s="1"/>
  <c r="F11"/>
  <c r="G11" s="1"/>
  <c r="G48" i="3" l="1"/>
  <c r="K64" i="8"/>
  <c r="I13" i="15"/>
  <c r="D40" i="9"/>
  <c r="I17" i="8"/>
  <c r="D100" i="4"/>
  <c r="F100" s="1"/>
  <c r="F97"/>
  <c r="I69" i="8"/>
  <c r="I12"/>
  <c r="L19" i="18"/>
  <c r="M19" s="1"/>
  <c r="D15" i="5"/>
  <c r="G13" i="15"/>
  <c r="J11"/>
  <c r="P18" i="18"/>
  <c r="Q18" s="1"/>
  <c r="E14" i="5"/>
  <c r="J14" i="15"/>
  <c r="F87" i="4"/>
  <c r="J13" i="15"/>
  <c r="K12"/>
  <c r="I78" i="8"/>
  <c r="I90" s="1"/>
  <c r="D14" i="9"/>
  <c r="E5" i="4" s="1"/>
  <c r="L30" i="16"/>
  <c r="G14"/>
  <c r="L13"/>
  <c r="O20" i="17" s="1"/>
  <c r="P20" s="1"/>
  <c r="K14" i="16"/>
  <c r="L12"/>
  <c r="O19" i="17" s="1"/>
  <c r="P19" s="1"/>
  <c r="F83" i="4"/>
  <c r="P53" i="18"/>
  <c r="E22" i="4"/>
  <c r="E29"/>
  <c r="L41" i="18"/>
  <c r="M41" s="1"/>
  <c r="K91" i="8"/>
  <c r="I50"/>
  <c r="J91"/>
  <c r="I54"/>
  <c r="J29"/>
  <c r="I31"/>
  <c r="I28"/>
  <c r="I29" s="1"/>
  <c r="K26" i="15"/>
  <c r="L25" i="16"/>
  <c r="O32" i="17" s="1"/>
  <c r="P32" s="1"/>
  <c r="O35"/>
  <c r="P35" s="1"/>
  <c r="O36"/>
  <c r="P36" s="1"/>
  <c r="E25" i="4"/>
  <c r="F13" i="15"/>
  <c r="L16" i="18"/>
  <c r="M16" s="1"/>
  <c r="K11" i="15"/>
  <c r="H51" i="3"/>
  <c r="F7"/>
  <c r="M50" i="18"/>
  <c r="O21" i="17"/>
  <c r="P21" s="1"/>
  <c r="P16" i="18"/>
  <c r="Q16" s="1"/>
  <c r="K14" i="15"/>
  <c r="D14" i="5" s="1"/>
  <c r="D16" i="9" l="1"/>
  <c r="D17" s="1"/>
  <c r="E10" i="4"/>
  <c r="D25" i="9"/>
  <c r="L36" i="18"/>
  <c r="M36" s="1"/>
  <c r="D47" i="5"/>
  <c r="L14" i="16"/>
  <c r="I64" i="8"/>
  <c r="I91" s="1"/>
  <c r="I94" s="1"/>
  <c r="L15" i="18"/>
  <c r="K13" i="15"/>
  <c r="G8" i="3"/>
  <c r="F5"/>
  <c r="D3" i="20" s="1"/>
  <c r="E77" i="4" s="1"/>
  <c r="L18" i="18"/>
  <c r="D22" i="9" l="1"/>
  <c r="D26"/>
  <c r="F67" i="20"/>
  <c r="F68"/>
  <c r="I93" i="8"/>
  <c r="L17" i="18"/>
  <c r="M17" s="1"/>
  <c r="M15"/>
  <c r="G6" i="3"/>
  <c r="G9" i="6" l="1"/>
  <c r="I11" i="16"/>
  <c r="E11"/>
  <c r="D11"/>
  <c r="G10"/>
  <c r="C11"/>
  <c r="G9" l="1"/>
  <c r="G11" s="1"/>
  <c r="G8" i="6" l="1"/>
  <c r="I8" i="20" l="1"/>
  <c r="J8" s="1"/>
  <c r="G7" i="6"/>
  <c r="I7" i="20" l="1"/>
  <c r="J7" l="1"/>
  <c r="G17" i="16" l="1"/>
  <c r="G18" l="1"/>
  <c r="F3" i="8" l="1"/>
  <c r="M3" l="1"/>
  <c r="M76" l="1"/>
  <c r="G31" i="16" l="1"/>
  <c r="G26" l="1"/>
  <c r="G16" l="1"/>
  <c r="D8"/>
  <c r="D32" s="1"/>
  <c r="E8"/>
  <c r="E32" s="1"/>
  <c r="F8"/>
  <c r="F32" s="1"/>
  <c r="C8"/>
  <c r="C32" s="1"/>
  <c r="G15"/>
  <c r="G8" s="1"/>
  <c r="G32" s="1"/>
  <c r="K39" l="1"/>
  <c r="K33" l="1"/>
  <c r="L33" s="1"/>
  <c r="L39"/>
  <c r="O45" i="17" l="1"/>
  <c r="P45" s="1"/>
  <c r="I52" i="3" l="1"/>
  <c r="E51" l="1"/>
  <c r="C19" i="9" s="1"/>
  <c r="E19" l="1"/>
  <c r="C20"/>
  <c r="E20" s="1"/>
  <c r="I51" i="3"/>
  <c r="J51" i="20" l="1"/>
  <c r="D60" i="9" l="1"/>
  <c r="D64" l="1"/>
  <c r="D70" s="1"/>
  <c r="D23"/>
  <c r="E6" i="4" s="1"/>
  <c r="E7"/>
  <c r="E16" l="1"/>
  <c r="E13"/>
  <c r="E17"/>
  <c r="G43" i="16" l="1"/>
  <c r="F49" i="6" l="1"/>
  <c r="K27" i="14" l="1"/>
  <c r="J27"/>
  <c r="N33"/>
  <c r="N24"/>
  <c r="M33"/>
  <c r="M24"/>
  <c r="L24"/>
  <c r="L18"/>
  <c r="L15" l="1"/>
  <c r="Y22"/>
  <c r="Y24" s="1"/>
  <c r="J24"/>
  <c r="Z22"/>
  <c r="Z24" s="1"/>
  <c r="K24"/>
  <c r="M42" i="18" l="1"/>
  <c r="K31" i="16" l="1"/>
  <c r="L31" l="1"/>
  <c r="O38" i="17" s="1"/>
  <c r="P38" s="1"/>
  <c r="O37" l="1"/>
  <c r="P37" s="1"/>
  <c r="Q53" i="18" l="1"/>
  <c r="P45"/>
  <c r="Q51"/>
  <c r="Q45" l="1"/>
  <c r="Q57"/>
  <c r="O40" i="17" l="1"/>
  <c r="P40" s="1"/>
  <c r="L45" i="18" l="1"/>
  <c r="M51"/>
  <c r="M45" l="1"/>
  <c r="M57" l="1"/>
  <c r="G33" i="15" l="1"/>
  <c r="P43" i="18"/>
  <c r="Q43" l="1"/>
  <c r="K33" i="15"/>
  <c r="L43" i="18" l="1"/>
  <c r="Z37" i="2"/>
  <c r="M43" i="18" l="1"/>
  <c r="M63" i="8" l="1"/>
  <c r="M56" l="1"/>
  <c r="M41" l="1"/>
  <c r="C18" i="25" l="1"/>
  <c r="B18"/>
  <c r="B12" i="14" l="1"/>
  <c r="B18"/>
  <c r="B30"/>
  <c r="C37" i="2"/>
  <c r="C39" s="1"/>
  <c r="X31"/>
  <c r="X33" s="1"/>
  <c r="S65"/>
  <c r="B9" i="25"/>
  <c r="B31"/>
  <c r="B9" i="14"/>
  <c r="B34"/>
  <c r="B15"/>
  <c r="B21"/>
  <c r="B27"/>
  <c r="B45"/>
  <c r="D112" i="4"/>
  <c r="F112" s="1"/>
  <c r="C9" i="25"/>
  <c r="C31"/>
  <c r="C33" s="1"/>
  <c r="C9" i="14"/>
  <c r="C34"/>
  <c r="C36" s="1"/>
  <c r="C12"/>
  <c r="C15"/>
  <c r="C18"/>
  <c r="C21"/>
  <c r="C27"/>
  <c r="C30"/>
  <c r="C45"/>
  <c r="B37" i="2"/>
  <c r="W31"/>
  <c r="W33" s="1"/>
  <c r="B33" i="25" l="1"/>
  <c r="B39" i="2"/>
  <c r="Y31"/>
  <c r="Y33" s="1"/>
  <c r="D96" i="4"/>
  <c r="F96" s="1"/>
  <c r="B36" i="14"/>
  <c r="D79" i="4"/>
  <c r="J64" i="14" l="1"/>
  <c r="P108" l="1"/>
  <c r="F114"/>
  <c r="R65" i="2"/>
  <c r="T65"/>
  <c r="R108" i="14" l="1"/>
  <c r="P114"/>
  <c r="P58" i="5"/>
  <c r="Q58" i="21" s="1"/>
  <c r="R58" s="1"/>
  <c r="F120" i="14"/>
  <c r="D13" i="18"/>
  <c r="R58" i="5" l="1"/>
  <c r="G13" i="18"/>
  <c r="P120" i="14"/>
  <c r="K13" i="18" l="1"/>
  <c r="D9" i="21" l="1"/>
  <c r="J9" s="1"/>
  <c r="P9" s="1"/>
  <c r="E41" i="4" l="1"/>
  <c r="E35"/>
  <c r="AN86" i="19" l="1"/>
  <c r="E54" i="20"/>
  <c r="E57" s="1"/>
  <c r="E63" s="1"/>
  <c r="C54"/>
  <c r="C57" s="1"/>
  <c r="C60" s="1"/>
  <c r="C63" s="1"/>
  <c r="C58" l="1"/>
  <c r="AN83" i="19"/>
  <c r="B54" i="20"/>
  <c r="AN85" i="19"/>
  <c r="D54" i="20"/>
  <c r="E60"/>
  <c r="E61" s="1"/>
  <c r="E58"/>
  <c r="E64"/>
  <c r="AK87" i="19"/>
  <c r="AK82" s="1"/>
  <c r="AN84"/>
  <c r="D69" i="20" l="1"/>
  <c r="F69" s="1"/>
  <c r="D57"/>
  <c r="D58" s="1"/>
  <c r="D66"/>
  <c r="H54"/>
  <c r="B57"/>
  <c r="B60" s="1"/>
  <c r="B63" s="1"/>
  <c r="AN87" i="19"/>
  <c r="B58" i="20" l="1"/>
  <c r="I71" i="21"/>
  <c r="H57" i="20"/>
  <c r="D60"/>
  <c r="D61" s="1"/>
  <c r="D70"/>
  <c r="F70" s="1"/>
  <c r="D71"/>
  <c r="AN82" i="19"/>
  <c r="N66" i="21" l="1"/>
  <c r="I73"/>
  <c r="P66" s="1"/>
  <c r="D63" i="20"/>
  <c r="H61"/>
  <c r="H60"/>
  <c r="H46" i="26" l="1"/>
  <c r="C46"/>
  <c r="F46" l="1"/>
  <c r="I46"/>
  <c r="E46"/>
  <c r="D46"/>
  <c r="J46"/>
  <c r="AK63" i="19"/>
  <c r="AK67"/>
  <c r="K46" i="26" l="1"/>
  <c r="G46"/>
  <c r="AK68" i="19"/>
  <c r="L46" i="26" l="1"/>
  <c r="AK58" i="19"/>
  <c r="C71" i="21" l="1"/>
  <c r="N63" l="1"/>
  <c r="N79" s="1"/>
  <c r="Q111" i="14" l="1"/>
  <c r="C111" s="1"/>
  <c r="H18" i="18"/>
  <c r="J18" s="1"/>
  <c r="I114" i="14"/>
  <c r="Q110"/>
  <c r="C110" s="1"/>
  <c r="K114"/>
  <c r="H12" i="18" s="1"/>
  <c r="Q119" i="14" l="1"/>
  <c r="Q108"/>
  <c r="Q114" s="1"/>
  <c r="I120"/>
  <c r="E12" i="18"/>
  <c r="H11"/>
  <c r="H44" s="1"/>
  <c r="H54" s="1"/>
  <c r="H56" s="1"/>
  <c r="H58" s="1"/>
  <c r="H14"/>
  <c r="G114" i="14"/>
  <c r="C18" i="18"/>
  <c r="K120" i="14"/>
  <c r="O114"/>
  <c r="AJ8"/>
  <c r="C108" l="1"/>
  <c r="Q54" s="1"/>
  <c r="Q63" s="1"/>
  <c r="K121"/>
  <c r="H59" i="18"/>
  <c r="H60"/>
  <c r="Q60" i="14"/>
  <c r="I121"/>
  <c r="C114"/>
  <c r="Q120"/>
  <c r="Q121" s="1"/>
  <c r="AJ9"/>
  <c r="C11" i="18"/>
  <c r="C44" s="1"/>
  <c r="C54" s="1"/>
  <c r="C56" s="1"/>
  <c r="C58" s="1"/>
  <c r="C60" s="1"/>
  <c r="G18"/>
  <c r="K18" s="1"/>
  <c r="D14" i="21" s="1"/>
  <c r="J14" s="1"/>
  <c r="P14" s="1"/>
  <c r="I12" i="18"/>
  <c r="O120" i="14"/>
  <c r="Q51"/>
  <c r="E121"/>
  <c r="AJ11" s="1"/>
  <c r="AJ12" s="1"/>
  <c r="D12" i="18"/>
  <c r="G120" i="14"/>
  <c r="E14" i="18"/>
  <c r="E11"/>
  <c r="E44" s="1"/>
  <c r="E54" s="1"/>
  <c r="E56" s="1"/>
  <c r="E58" s="1"/>
  <c r="E60" s="1"/>
  <c r="E49" i="4" l="1"/>
  <c r="S54" i="14"/>
  <c r="D14" i="18"/>
  <c r="D11"/>
  <c r="D44" s="1"/>
  <c r="D54" s="1"/>
  <c r="D56" s="1"/>
  <c r="D58" s="1"/>
  <c r="D60" s="1"/>
  <c r="G12"/>
  <c r="Q52" i="14"/>
  <c r="S51"/>
  <c r="S52" s="1"/>
  <c r="I14" i="18"/>
  <c r="I11"/>
  <c r="I44" s="1"/>
  <c r="I54" s="1"/>
  <c r="I56" s="1"/>
  <c r="I58" s="1"/>
  <c r="J12"/>
  <c r="Q61" i="14"/>
  <c r="S60"/>
  <c r="S61" s="1"/>
  <c r="S63"/>
  <c r="AJ35"/>
  <c r="AJ36" s="1"/>
  <c r="Q57"/>
  <c r="G121"/>
  <c r="O121"/>
  <c r="Q72"/>
  <c r="M18" i="18"/>
  <c r="Q73" i="14" l="1"/>
  <c r="S72"/>
  <c r="S73" s="1"/>
  <c r="Q58"/>
  <c r="S57"/>
  <c r="S58" s="1"/>
  <c r="J14" i="18"/>
  <c r="J11"/>
  <c r="J44" s="1"/>
  <c r="J54" s="1"/>
  <c r="J56" s="1"/>
  <c r="J58" s="1"/>
  <c r="G11"/>
  <c r="G44" s="1"/>
  <c r="G54" s="1"/>
  <c r="G56" s="1"/>
  <c r="G58" s="1"/>
  <c r="K12"/>
  <c r="G14"/>
  <c r="I60"/>
  <c r="I59"/>
  <c r="Q75" i="14"/>
  <c r="D8" i="21" l="1"/>
  <c r="K11" i="18"/>
  <c r="D10" i="21"/>
  <c r="D7"/>
  <c r="D60" s="1"/>
  <c r="J8"/>
  <c r="G59" i="18"/>
  <c r="G60"/>
  <c r="S75" i="14"/>
  <c r="K14" i="18"/>
  <c r="J60"/>
  <c r="J59"/>
  <c r="P8" i="21" l="1"/>
  <c r="J10"/>
  <c r="J7"/>
  <c r="J60" s="1"/>
  <c r="D84"/>
  <c r="D70"/>
  <c r="K44" i="18"/>
  <c r="E40" i="4"/>
  <c r="D73" i="21" l="1"/>
  <c r="P10"/>
  <c r="E42" i="4"/>
  <c r="E34"/>
  <c r="K54" i="18"/>
  <c r="D75" i="21" l="1"/>
  <c r="K56" i="18"/>
  <c r="K58" s="1"/>
  <c r="E33" i="4"/>
  <c r="E36"/>
  <c r="K59" i="18" l="1"/>
  <c r="P64" i="21"/>
  <c r="K60" i="18" l="1"/>
  <c r="E109" i="4" l="1"/>
  <c r="AM57" i="19"/>
  <c r="M116"/>
  <c r="AC116" s="1"/>
  <c r="J5"/>
  <c r="J41" s="1"/>
  <c r="J54" s="1"/>
  <c r="M57" l="1"/>
  <c r="AN116" l="1"/>
  <c r="K78" i="21" l="1"/>
  <c r="K5" i="19"/>
  <c r="K41" s="1"/>
  <c r="K54" s="1"/>
  <c r="K20"/>
  <c r="M15"/>
  <c r="M17" s="1"/>
  <c r="L17"/>
  <c r="AC15" l="1"/>
  <c r="AC17" l="1"/>
  <c r="AN15"/>
  <c r="AN17" l="1"/>
  <c r="K26" i="21"/>
  <c r="K28" l="1"/>
  <c r="P26"/>
  <c r="P28" l="1"/>
  <c r="M18" i="19"/>
  <c r="M5" s="1"/>
  <c r="M41" s="1"/>
  <c r="M54" s="1"/>
  <c r="L20"/>
  <c r="L5"/>
  <c r="L41" s="1"/>
  <c r="L54" s="1"/>
  <c r="AC18" l="1"/>
  <c r="M20"/>
  <c r="AC20" l="1"/>
  <c r="Q6" l="1"/>
  <c r="Q5" s="1"/>
  <c r="Q41" s="1"/>
  <c r="Q54" s="1"/>
  <c r="Q56" s="1"/>
  <c r="P8"/>
  <c r="P5"/>
  <c r="P41" s="1"/>
  <c r="P54" s="1"/>
  <c r="P56" s="1"/>
  <c r="Q8" l="1"/>
  <c r="AC6"/>
  <c r="AC8" l="1"/>
  <c r="AN6"/>
  <c r="K17" i="21" l="1"/>
  <c r="AN8" i="19"/>
  <c r="K19" i="21" l="1"/>
  <c r="W5" i="19" l="1"/>
  <c r="W41" s="1"/>
  <c r="W54" s="1"/>
  <c r="W56" s="1"/>
  <c r="Y9"/>
  <c r="AC9" s="1"/>
  <c r="AC11" l="1"/>
  <c r="AC5"/>
  <c r="AC41" s="1"/>
  <c r="AC54" s="1"/>
  <c r="AN9"/>
  <c r="Y5"/>
  <c r="Y41" s="1"/>
  <c r="Y54" s="1"/>
  <c r="Y56" s="1"/>
  <c r="Y11"/>
  <c r="AN11" l="1"/>
  <c r="K20" i="21"/>
  <c r="P20" l="1"/>
  <c r="K22"/>
  <c r="P22" l="1"/>
  <c r="AJ5" i="19"/>
  <c r="AK18"/>
  <c r="AK20" s="1"/>
  <c r="AK5" l="1"/>
  <c r="AN18"/>
  <c r="AN20" l="1"/>
  <c r="AN5"/>
  <c r="K29" i="21"/>
  <c r="K7" l="1"/>
  <c r="K31"/>
  <c r="N54" l="1"/>
  <c r="N49" s="1"/>
  <c r="AK30" i="19"/>
  <c r="AK41" s="1"/>
  <c r="AK54" s="1"/>
  <c r="AJ35"/>
  <c r="AJ30" s="1"/>
  <c r="AJ41" s="1"/>
  <c r="AN35"/>
  <c r="P54" i="21" l="1"/>
  <c r="AN30" i="19"/>
  <c r="K49" i="21" l="1"/>
  <c r="K60" s="1"/>
  <c r="K70" s="1"/>
  <c r="K73" s="1"/>
  <c r="P49"/>
  <c r="AN41" i="19"/>
  <c r="AN54" s="1"/>
  <c r="E63" i="4" l="1"/>
  <c r="P68" i="21"/>
  <c r="F104" i="4"/>
  <c r="C6" i="6" l="1"/>
  <c r="F6"/>
  <c r="F39" s="1"/>
  <c r="F51" s="1"/>
  <c r="F56" s="1"/>
  <c r="F59" s="1"/>
  <c r="M35" i="11"/>
  <c r="AC35" s="1"/>
  <c r="AC24" i="14"/>
  <c r="AC18"/>
  <c r="AC15"/>
  <c r="AC12"/>
  <c r="V18" i="25" l="1"/>
  <c r="E3" i="24"/>
  <c r="AA15" i="25"/>
  <c r="AC9" i="14"/>
  <c r="AA22"/>
  <c r="AA24" s="1"/>
  <c r="AG22"/>
  <c r="AD24"/>
  <c r="R26" i="11"/>
  <c r="AC60" i="19"/>
  <c r="AC62"/>
  <c r="AC65"/>
  <c r="P45" i="2"/>
  <c r="L45"/>
  <c r="AA9"/>
  <c r="AA9" i="25"/>
  <c r="C3" i="24"/>
  <c r="U18" i="25"/>
  <c r="AC59" i="19"/>
  <c r="AN59" s="1"/>
  <c r="AC61"/>
  <c r="AC66"/>
  <c r="O67" i="2"/>
  <c r="P67"/>
  <c r="AA33"/>
  <c r="N67"/>
  <c r="AC31"/>
  <c r="AC33" s="1"/>
  <c r="AA12"/>
  <c r="P48"/>
  <c r="L48"/>
  <c r="F86" l="1"/>
  <c r="G86" s="1"/>
  <c r="AG10"/>
  <c r="O69"/>
  <c r="T88"/>
  <c r="F44" i="26"/>
  <c r="G44" s="1"/>
  <c r="L44" s="1"/>
  <c r="C69" i="21" s="1"/>
  <c r="J69" s="1"/>
  <c r="AG62" i="19"/>
  <c r="AG63" s="1"/>
  <c r="AE63"/>
  <c r="AE68" s="1"/>
  <c r="J43" i="26"/>
  <c r="J45" s="1"/>
  <c r="J47" s="1"/>
  <c r="J49" s="1"/>
  <c r="J50" s="1"/>
  <c r="AN66" i="19"/>
  <c r="H67"/>
  <c r="H68" s="1"/>
  <c r="AC64"/>
  <c r="E43" i="26"/>
  <c r="E45" s="1"/>
  <c r="E47" s="1"/>
  <c r="E49" s="1"/>
  <c r="E47" i="17"/>
  <c r="E49" s="1"/>
  <c r="E51" s="1"/>
  <c r="E53" s="1"/>
  <c r="E55" s="1"/>
  <c r="AN61" i="19"/>
  <c r="C43" i="26"/>
  <c r="AC63" i="19"/>
  <c r="C47" i="17"/>
  <c r="I43" i="26"/>
  <c r="I45" s="1"/>
  <c r="I47" s="1"/>
  <c r="I49" s="1"/>
  <c r="I50" s="1"/>
  <c r="AN65" i="19"/>
  <c r="F43" i="26"/>
  <c r="F45" s="1"/>
  <c r="F47" s="1"/>
  <c r="F49" s="1"/>
  <c r="F50" s="1"/>
  <c r="F47" i="17"/>
  <c r="F49" s="1"/>
  <c r="F51" s="1"/>
  <c r="F53" s="1"/>
  <c r="AN62" i="19"/>
  <c r="D43" i="26"/>
  <c r="D45" s="1"/>
  <c r="D47" s="1"/>
  <c r="D49" s="1"/>
  <c r="D47" i="17"/>
  <c r="D49" s="1"/>
  <c r="D51" s="1"/>
  <c r="D53" s="1"/>
  <c r="D55" s="1"/>
  <c r="AN60" i="19"/>
  <c r="P50" i="2"/>
  <c r="F90"/>
  <c r="N69"/>
  <c r="T87"/>
  <c r="P69"/>
  <c r="T90"/>
  <c r="L70"/>
  <c r="D86"/>
  <c r="D90"/>
  <c r="P47"/>
  <c r="B65" i="14"/>
  <c r="B67" s="1"/>
  <c r="AH22"/>
  <c r="J65" s="1"/>
  <c r="AG24"/>
  <c r="AH24" s="1"/>
  <c r="H67" i="11"/>
  <c r="H68" s="1"/>
  <c r="H58" s="1"/>
  <c r="H57" s="1"/>
  <c r="P65" i="14" l="1"/>
  <c r="P67" s="1"/>
  <c r="J67"/>
  <c r="Q65"/>
  <c r="K65"/>
  <c r="K67" s="1"/>
  <c r="J74"/>
  <c r="J76" s="1"/>
  <c r="J91"/>
  <c r="K91" s="1"/>
  <c r="Q91" s="1"/>
  <c r="AG28" i="2"/>
  <c r="AG30" s="1"/>
  <c r="K72"/>
  <c r="F54" i="17"/>
  <c r="F55"/>
  <c r="C49"/>
  <c r="C51" s="1"/>
  <c r="C53" s="1"/>
  <c r="C55" s="1"/>
  <c r="G47"/>
  <c r="G43" i="26"/>
  <c r="C45"/>
  <c r="C47" s="1"/>
  <c r="C49" s="1"/>
  <c r="H43"/>
  <c r="AC67" i="19"/>
  <c r="AN64"/>
  <c r="AN67" s="1"/>
  <c r="AG68"/>
  <c r="AG58" s="1"/>
  <c r="AG57" s="1"/>
  <c r="AE58"/>
  <c r="AE57" s="1"/>
  <c r="AG12" i="2"/>
  <c r="AG37"/>
  <c r="AG39" s="1"/>
  <c r="E90"/>
  <c r="E86"/>
  <c r="W86" s="1"/>
  <c r="V86"/>
  <c r="G90"/>
  <c r="S90" s="1"/>
  <c r="T103"/>
  <c r="H58" i="19"/>
  <c r="H57" s="1"/>
  <c r="AC68"/>
  <c r="S86" i="2"/>
  <c r="U86"/>
  <c r="U90"/>
  <c r="T91"/>
  <c r="AN63" i="19"/>
  <c r="G49" i="17" l="1"/>
  <c r="N49"/>
  <c r="N51" s="1"/>
  <c r="N53" s="1"/>
  <c r="U103" i="2"/>
  <c r="V103"/>
  <c r="Y86"/>
  <c r="K43" i="26"/>
  <c r="K45" s="1"/>
  <c r="K47" s="1"/>
  <c r="K49" s="1"/>
  <c r="H45"/>
  <c r="H47" s="1"/>
  <c r="H49" s="1"/>
  <c r="H50" s="1"/>
  <c r="G45"/>
  <c r="G47" s="1"/>
  <c r="G49" s="1"/>
  <c r="G50" s="1"/>
  <c r="Q67" i="14"/>
  <c r="S65"/>
  <c r="S67" s="1"/>
  <c r="AC58" i="19"/>
  <c r="AC57" s="1"/>
  <c r="AN68"/>
  <c r="L43" i="26" l="1"/>
  <c r="AN58" i="19"/>
  <c r="AN57" s="1"/>
  <c r="N55" i="17"/>
  <c r="G51"/>
  <c r="C68" i="21"/>
  <c r="L45" i="26"/>
  <c r="K50"/>
  <c r="K51"/>
  <c r="W103" i="2"/>
  <c r="V108"/>
  <c r="Y103"/>
  <c r="G53" i="17" l="1"/>
  <c r="L47" i="26"/>
  <c r="L49" s="1"/>
  <c r="W108" i="2"/>
  <c r="W116" s="1"/>
  <c r="C103"/>
  <c r="K63" i="21"/>
  <c r="K79" s="1"/>
  <c r="K81" s="1"/>
  <c r="C84"/>
  <c r="C70"/>
  <c r="J68"/>
  <c r="L50" i="26" l="1"/>
  <c r="G54" i="17"/>
  <c r="G55"/>
  <c r="N47" i="11"/>
  <c r="Q47" s="1"/>
  <c r="Q103"/>
  <c r="C73" i="21"/>
  <c r="J70"/>
  <c r="L51" i="26"/>
  <c r="E92" i="4" l="1"/>
  <c r="P63" i="21"/>
  <c r="C75"/>
  <c r="U108" i="11" l="1"/>
  <c r="U107"/>
  <c r="AB48" l="1"/>
  <c r="V48"/>
  <c r="U105"/>
  <c r="AA48"/>
  <c r="Y48" l="1"/>
  <c r="M105" l="1"/>
  <c r="Y46" l="1"/>
  <c r="V46"/>
  <c r="F25" i="8" l="1"/>
  <c r="M87" l="1"/>
  <c r="H73" i="21"/>
  <c r="J73" s="1"/>
  <c r="J82" s="1"/>
  <c r="J71"/>
  <c r="P30" i="25" l="1"/>
  <c r="O30"/>
  <c r="K30"/>
  <c r="J30"/>
  <c r="V25"/>
  <c r="V27" s="1"/>
  <c r="U25"/>
  <c r="T27"/>
  <c r="N27"/>
  <c r="M27"/>
  <c r="V22"/>
  <c r="U22"/>
  <c r="T24"/>
  <c r="N24"/>
  <c r="M24"/>
  <c r="K24"/>
  <c r="J24"/>
  <c r="T21"/>
  <c r="N21"/>
  <c r="M21"/>
  <c r="K19"/>
  <c r="K21" s="1"/>
  <c r="J19"/>
  <c r="J21" s="1"/>
  <c r="T18"/>
  <c r="P18"/>
  <c r="O18"/>
  <c r="N18"/>
  <c r="M18"/>
  <c r="K18"/>
  <c r="J18"/>
  <c r="N15"/>
  <c r="M15"/>
  <c r="J31" l="1"/>
  <c r="J33" s="1"/>
  <c r="W7"/>
  <c r="J9"/>
  <c r="J12"/>
  <c r="W10"/>
  <c r="W13"/>
  <c r="J15"/>
  <c r="M12"/>
  <c r="M31"/>
  <c r="M33" s="1"/>
  <c r="O15"/>
  <c r="O31"/>
  <c r="O33" s="1"/>
  <c r="S12"/>
  <c r="S31"/>
  <c r="H18"/>
  <c r="H31"/>
  <c r="W16"/>
  <c r="S18"/>
  <c r="H24"/>
  <c r="W22"/>
  <c r="S21"/>
  <c r="S24"/>
  <c r="U24"/>
  <c r="U31"/>
  <c r="J27"/>
  <c r="W25"/>
  <c r="O27"/>
  <c r="Q27"/>
  <c r="Q31"/>
  <c r="Q33" s="1"/>
  <c r="S27"/>
  <c r="U27"/>
  <c r="H3" i="24"/>
  <c r="AA31" i="25"/>
  <c r="AA33" s="1"/>
  <c r="AA18"/>
  <c r="AA21"/>
  <c r="F3" i="24"/>
  <c r="G3" s="1"/>
  <c r="I3"/>
  <c r="AA24" i="25"/>
  <c r="AA27"/>
  <c r="J3" i="24"/>
  <c r="X7" i="25"/>
  <c r="K9"/>
  <c r="K31"/>
  <c r="K33" s="1"/>
  <c r="K12"/>
  <c r="X10"/>
  <c r="X12" s="1"/>
  <c r="X13"/>
  <c r="K15"/>
  <c r="N12"/>
  <c r="N31"/>
  <c r="N33" s="1"/>
  <c r="P15"/>
  <c r="P31"/>
  <c r="P33" s="1"/>
  <c r="T31"/>
  <c r="T12"/>
  <c r="I18"/>
  <c r="I31"/>
  <c r="E21"/>
  <c r="E31"/>
  <c r="E33" s="1"/>
  <c r="I24"/>
  <c r="V24"/>
  <c r="V31"/>
  <c r="K27"/>
  <c r="P27"/>
  <c r="R27"/>
  <c r="R31"/>
  <c r="R33" s="1"/>
  <c r="AB31"/>
  <c r="AB33" s="1"/>
  <c r="AE7"/>
  <c r="C3" i="26"/>
  <c r="AB9" i="25"/>
  <c r="AE10"/>
  <c r="D3" i="26"/>
  <c r="AB12" i="25"/>
  <c r="AE13"/>
  <c r="E3" i="26"/>
  <c r="AB15" i="25"/>
  <c r="AB18"/>
  <c r="H3" i="26"/>
  <c r="AE16" i="25"/>
  <c r="AE19"/>
  <c r="F3" i="26"/>
  <c r="AB21" i="25"/>
  <c r="I3" i="26"/>
  <c r="AE22" i="25"/>
  <c r="AB24"/>
  <c r="AE25"/>
  <c r="J3" i="26"/>
  <c r="AB27" i="25"/>
  <c r="X22" l="1"/>
  <c r="X24" s="1"/>
  <c r="AC19"/>
  <c r="F6" i="26"/>
  <c r="F4" i="24"/>
  <c r="G4" s="1"/>
  <c r="L21" i="25"/>
  <c r="AC25"/>
  <c r="J6" i="26"/>
  <c r="J8" s="1"/>
  <c r="J4" i="24"/>
  <c r="L27" i="25"/>
  <c r="J5" i="26"/>
  <c r="J51"/>
  <c r="I5"/>
  <c r="I51"/>
  <c r="F5"/>
  <c r="F51"/>
  <c r="AE18" i="25"/>
  <c r="AF18" s="1"/>
  <c r="B48"/>
  <c r="E5" i="26"/>
  <c r="E51"/>
  <c r="AE12" i="25"/>
  <c r="AF12" s="1"/>
  <c r="B42"/>
  <c r="C5" i="26"/>
  <c r="G3"/>
  <c r="C51"/>
  <c r="V33" i="25"/>
  <c r="T34"/>
  <c r="I33"/>
  <c r="D81" i="4"/>
  <c r="X9" i="25"/>
  <c r="Y22"/>
  <c r="Y24" s="1"/>
  <c r="W24"/>
  <c r="D21"/>
  <c r="D31"/>
  <c r="D33" s="1"/>
  <c r="W19"/>
  <c r="W18"/>
  <c r="Y16"/>
  <c r="Y18" s="1"/>
  <c r="W12"/>
  <c r="Y10"/>
  <c r="X19"/>
  <c r="AC16"/>
  <c r="H6" i="26"/>
  <c r="L18" i="25"/>
  <c r="H4" i="24"/>
  <c r="AC22" i="25"/>
  <c r="I6" i="26"/>
  <c r="I8" s="1"/>
  <c r="L24" i="25"/>
  <c r="I4" i="24"/>
  <c r="B57" i="25"/>
  <c r="AE27"/>
  <c r="AF27" s="1"/>
  <c r="AE24"/>
  <c r="AF24" s="1"/>
  <c r="B54"/>
  <c r="B51"/>
  <c r="AE21"/>
  <c r="AF21" s="1"/>
  <c r="H5" i="26"/>
  <c r="K3"/>
  <c r="K5" s="1"/>
  <c r="H51"/>
  <c r="AE15" i="25"/>
  <c r="AF15" s="1"/>
  <c r="B45"/>
  <c r="D5" i="26"/>
  <c r="D51"/>
  <c r="AE9" i="25"/>
  <c r="AF9" s="1"/>
  <c r="B39"/>
  <c r="AE31"/>
  <c r="T33"/>
  <c r="X15"/>
  <c r="W27"/>
  <c r="Y25"/>
  <c r="Y27" s="1"/>
  <c r="D94" i="4"/>
  <c r="F94" s="1"/>
  <c r="U33" i="25"/>
  <c r="D80" i="4"/>
  <c r="H33" i="25"/>
  <c r="S33"/>
  <c r="D89" i="4"/>
  <c r="F89" s="1"/>
  <c r="Y13" i="25"/>
  <c r="Y15" s="1"/>
  <c r="W15"/>
  <c r="Y7"/>
  <c r="W9"/>
  <c r="W31"/>
  <c r="X25"/>
  <c r="X16"/>
  <c r="K3" i="24"/>
  <c r="L3" s="1"/>
  <c r="Z13" i="25" l="1"/>
  <c r="Z15" s="1"/>
  <c r="X31"/>
  <c r="X33" s="1"/>
  <c r="AD31"/>
  <c r="AD33" s="1"/>
  <c r="AE33"/>
  <c r="AF33" s="1"/>
  <c r="F54"/>
  <c r="H54" s="1"/>
  <c r="G54"/>
  <c r="B56"/>
  <c r="H8" i="26"/>
  <c r="K6"/>
  <c r="K8" s="1"/>
  <c r="X21" i="25"/>
  <c r="W21"/>
  <c r="Y19"/>
  <c r="Y21" s="1"/>
  <c r="D85" i="4"/>
  <c r="F85" s="1"/>
  <c r="AC27" i="25"/>
  <c r="F8" i="26"/>
  <c r="G6"/>
  <c r="K4" i="24"/>
  <c r="L4" s="1"/>
  <c r="X18" i="25"/>
  <c r="Z16"/>
  <c r="Z18" s="1"/>
  <c r="X27"/>
  <c r="Z25"/>
  <c r="Z27" s="1"/>
  <c r="D93" i="4"/>
  <c r="F93" s="1"/>
  <c r="W33" i="25"/>
  <c r="Y9"/>
  <c r="E39"/>
  <c r="B41"/>
  <c r="B60"/>
  <c r="B62" s="1"/>
  <c r="D45"/>
  <c r="B47"/>
  <c r="E45"/>
  <c r="B53"/>
  <c r="F51"/>
  <c r="H57"/>
  <c r="I57"/>
  <c r="B59"/>
  <c r="AC24"/>
  <c r="AC18"/>
  <c r="Z10"/>
  <c r="Z12" s="1"/>
  <c r="Y12"/>
  <c r="D82" i="4"/>
  <c r="F82" s="1"/>
  <c r="F81"/>
  <c r="G5" i="26"/>
  <c r="L3"/>
  <c r="L5" s="1"/>
  <c r="B44" i="25"/>
  <c r="D42"/>
  <c r="E42" s="1"/>
  <c r="D48"/>
  <c r="B50"/>
  <c r="E48"/>
  <c r="AC21"/>
  <c r="Z7"/>
  <c r="Z22"/>
  <c r="Z24" s="1"/>
  <c r="Y31" l="1"/>
  <c r="Y33" s="1"/>
  <c r="Z9"/>
  <c r="J69"/>
  <c r="K69" s="1"/>
  <c r="E50"/>
  <c r="K48"/>
  <c r="J68"/>
  <c r="D50"/>
  <c r="F68"/>
  <c r="D44"/>
  <c r="K42"/>
  <c r="D60"/>
  <c r="D62" s="1"/>
  <c r="K57"/>
  <c r="H59"/>
  <c r="P72"/>
  <c r="D69"/>
  <c r="K39"/>
  <c r="E41"/>
  <c r="E60"/>
  <c r="E62" s="1"/>
  <c r="K54"/>
  <c r="N70"/>
  <c r="F56"/>
  <c r="F69"/>
  <c r="E44"/>
  <c r="P73"/>
  <c r="I60"/>
  <c r="H62" s="1"/>
  <c r="I59"/>
  <c r="L70"/>
  <c r="K51"/>
  <c r="F60"/>
  <c r="F53"/>
  <c r="H69"/>
  <c r="I69" s="1"/>
  <c r="E47"/>
  <c r="D47"/>
  <c r="H68"/>
  <c r="K45"/>
  <c r="G8" i="26"/>
  <c r="L6"/>
  <c r="N72" i="25"/>
  <c r="H60"/>
  <c r="G62" s="1"/>
  <c r="H56"/>
  <c r="N71"/>
  <c r="G60"/>
  <c r="F62" s="1"/>
  <c r="G56"/>
  <c r="Z19"/>
  <c r="Z21" s="1"/>
  <c r="R71" l="1"/>
  <c r="U71" s="1"/>
  <c r="O71"/>
  <c r="S71" s="1"/>
  <c r="D91" i="4"/>
  <c r="F91" s="1"/>
  <c r="L8" i="26"/>
  <c r="AF13" i="25"/>
  <c r="K47"/>
  <c r="M70"/>
  <c r="R70"/>
  <c r="U70" s="1"/>
  <c r="L75"/>
  <c r="L85"/>
  <c r="Q51" s="1"/>
  <c r="K56"/>
  <c r="AF22"/>
  <c r="D85"/>
  <c r="Q39" s="1"/>
  <c r="D75"/>
  <c r="E69"/>
  <c r="E75" s="1"/>
  <c r="R69"/>
  <c r="U69" s="1"/>
  <c r="AF16"/>
  <c r="K50"/>
  <c r="O72"/>
  <c r="R72"/>
  <c r="U72" s="1"/>
  <c r="I68"/>
  <c r="I75" s="1"/>
  <c r="H75"/>
  <c r="H85"/>
  <c r="Q45" s="1"/>
  <c r="Q47" s="1"/>
  <c r="AF19"/>
  <c r="K53"/>
  <c r="Q73"/>
  <c r="S73" s="1"/>
  <c r="R73"/>
  <c r="U73" s="1"/>
  <c r="F75"/>
  <c r="G69"/>
  <c r="S69" s="1"/>
  <c r="O70"/>
  <c r="O75" s="1"/>
  <c r="N85"/>
  <c r="Q54" s="1"/>
  <c r="N75"/>
  <c r="K41"/>
  <c r="AF7"/>
  <c r="K60"/>
  <c r="J62" s="1"/>
  <c r="P75"/>
  <c r="P85"/>
  <c r="Q57" s="1"/>
  <c r="Q72"/>
  <c r="Q75" s="1"/>
  <c r="K59"/>
  <c r="AF25"/>
  <c r="AF10"/>
  <c r="K44"/>
  <c r="F85"/>
  <c r="Q42" s="1"/>
  <c r="Q44" s="1"/>
  <c r="G68"/>
  <c r="R68"/>
  <c r="J85"/>
  <c r="Q48" s="1"/>
  <c r="J75"/>
  <c r="K68"/>
  <c r="K75" s="1"/>
  <c r="Z31"/>
  <c r="Z33" s="1"/>
  <c r="J83" l="1"/>
  <c r="H9" i="24"/>
  <c r="I83" i="25"/>
  <c r="E8" i="24"/>
  <c r="E83" i="25"/>
  <c r="C8" i="24"/>
  <c r="L83" i="25"/>
  <c r="F9" i="24"/>
  <c r="K83" i="25"/>
  <c r="K85" s="1"/>
  <c r="H8" i="24"/>
  <c r="Q83" i="25"/>
  <c r="J8" i="24"/>
  <c r="P83" i="25"/>
  <c r="J9" i="24"/>
  <c r="N83" i="25"/>
  <c r="I9" i="24"/>
  <c r="O83" i="25"/>
  <c r="R54" s="1"/>
  <c r="I8" i="24"/>
  <c r="F83" i="25"/>
  <c r="D9" i="24"/>
  <c r="H83" i="25"/>
  <c r="E9" i="24"/>
  <c r="D83" i="25"/>
  <c r="C9" i="24"/>
  <c r="Q60" i="25"/>
  <c r="R48"/>
  <c r="S48"/>
  <c r="S50" s="1"/>
  <c r="Q50"/>
  <c r="R57"/>
  <c r="Q85"/>
  <c r="O85"/>
  <c r="E85"/>
  <c r="R39"/>
  <c r="Q41"/>
  <c r="M75"/>
  <c r="S70"/>
  <c r="S68"/>
  <c r="AF31"/>
  <c r="U68"/>
  <c r="U83" s="1"/>
  <c r="R85" s="1"/>
  <c r="R75"/>
  <c r="R83" s="1"/>
  <c r="S57"/>
  <c r="S59" s="1"/>
  <c r="Q59"/>
  <c r="S54"/>
  <c r="S56" s="1"/>
  <c r="Q56"/>
  <c r="I85"/>
  <c r="R45"/>
  <c r="S51"/>
  <c r="S53" s="1"/>
  <c r="Q53"/>
  <c r="G75"/>
  <c r="S72"/>
  <c r="M83" l="1"/>
  <c r="R51" s="1"/>
  <c r="F8" i="24"/>
  <c r="G83" i="25"/>
  <c r="D8" i="24"/>
  <c r="M85" i="25"/>
  <c r="T54"/>
  <c r="T56" s="1"/>
  <c r="R56"/>
  <c r="R59"/>
  <c r="T57"/>
  <c r="T59" s="1"/>
  <c r="S75"/>
  <c r="R42"/>
  <c r="G85"/>
  <c r="T45"/>
  <c r="T47" s="1"/>
  <c r="R47"/>
  <c r="P62"/>
  <c r="R41"/>
  <c r="T39"/>
  <c r="T41" s="1"/>
  <c r="R50"/>
  <c r="T48"/>
  <c r="T50" s="1"/>
  <c r="R60" l="1"/>
  <c r="S83"/>
  <c r="S85" s="1"/>
  <c r="C75"/>
  <c r="R62"/>
  <c r="Q62"/>
  <c r="T60"/>
  <c r="S62" s="1"/>
  <c r="T42"/>
  <c r="T44" s="1"/>
  <c r="R44"/>
  <c r="T51"/>
  <c r="T53" s="1"/>
  <c r="R53"/>
  <c r="D72" i="6" l="1"/>
  <c r="D69" i="4" l="1"/>
  <c r="F69" s="1"/>
  <c r="E59" i="9" l="1"/>
  <c r="E49"/>
  <c r="E47"/>
  <c r="E85" i="8" l="1"/>
  <c r="E58" i="9"/>
  <c r="E89" i="8"/>
  <c r="E46" i="9"/>
  <c r="P8" i="11" l="1"/>
  <c r="L47" i="5" l="1"/>
  <c r="L48" l="1"/>
  <c r="I98" i="3" l="1"/>
  <c r="C9" i="9"/>
  <c r="E99" i="3"/>
  <c r="I99" s="1"/>
  <c r="E2" i="20"/>
  <c r="E4" s="1"/>
  <c r="H98" i="3"/>
  <c r="D35"/>
  <c r="E2" i="6" l="1"/>
  <c r="H35" i="3"/>
  <c r="E9" i="9"/>
  <c r="F89" i="8" l="1"/>
  <c r="M89" s="1"/>
  <c r="F85"/>
  <c r="M85" s="1"/>
  <c r="D27" i="3" l="1"/>
  <c r="H27" s="1"/>
  <c r="H90"/>
  <c r="H94" l="1"/>
  <c r="D31"/>
  <c r="H31" s="1"/>
  <c r="H72"/>
  <c r="D9"/>
  <c r="D25"/>
  <c r="H25" s="1"/>
  <c r="H88"/>
  <c r="D17"/>
  <c r="H17" s="1"/>
  <c r="H80"/>
  <c r="H86"/>
  <c r="D23"/>
  <c r="H23" s="1"/>
  <c r="H78"/>
  <c r="D15"/>
  <c r="H15" s="1"/>
  <c r="D11"/>
  <c r="H11" s="1"/>
  <c r="H74"/>
  <c r="D70" l="1"/>
  <c r="D21"/>
  <c r="H84"/>
  <c r="D24" i="4"/>
  <c r="F24" s="1"/>
  <c r="D13" i="3"/>
  <c r="H13" s="1"/>
  <c r="H76"/>
  <c r="H9"/>
  <c r="D7" l="1"/>
  <c r="D21" i="4"/>
  <c r="F21" s="1"/>
  <c r="H70" i="3"/>
  <c r="H82"/>
  <c r="E85"/>
  <c r="I85" s="1"/>
  <c r="I84"/>
  <c r="D23" i="4"/>
  <c r="I72" i="3"/>
  <c r="E73"/>
  <c r="I73" s="1"/>
  <c r="E70"/>
  <c r="E75"/>
  <c r="I75" s="1"/>
  <c r="I74"/>
  <c r="E81"/>
  <c r="I81" s="1"/>
  <c r="I80"/>
  <c r="E91"/>
  <c r="I91" s="1"/>
  <c r="I90"/>
  <c r="E89"/>
  <c r="I89" s="1"/>
  <c r="I88"/>
  <c r="D68"/>
  <c r="E95"/>
  <c r="I95" s="1"/>
  <c r="I94"/>
  <c r="I78"/>
  <c r="E79"/>
  <c r="I79" s="1"/>
  <c r="E77"/>
  <c r="I77" s="1"/>
  <c r="I76"/>
  <c r="I86"/>
  <c r="E87"/>
  <c r="I87" s="1"/>
  <c r="H7"/>
  <c r="H21"/>
  <c r="D19"/>
  <c r="H19" s="1"/>
  <c r="I3" i="5"/>
  <c r="I5" s="1"/>
  <c r="I82" i="3" l="1"/>
  <c r="E83"/>
  <c r="I83" s="1"/>
  <c r="H68"/>
  <c r="I3" i="21"/>
  <c r="I5" s="1"/>
  <c r="F23" i="4"/>
  <c r="D25"/>
  <c r="F25" s="1"/>
  <c r="D5" i="3"/>
  <c r="D2" i="6" s="1"/>
  <c r="D4" s="1"/>
  <c r="E71" i="3"/>
  <c r="I71" s="1"/>
  <c r="E68"/>
  <c r="I70"/>
  <c r="D20" i="4"/>
  <c r="D22" l="1"/>
  <c r="F22" s="1"/>
  <c r="F20"/>
  <c r="I68" i="3"/>
  <c r="C3" i="9"/>
  <c r="E69" i="3"/>
  <c r="I69" s="1"/>
  <c r="H5"/>
  <c r="D2" i="20"/>
  <c r="D4" l="1"/>
  <c r="D77" i="4"/>
  <c r="E3" i="9"/>
  <c r="F77" i="4" l="1"/>
  <c r="F80"/>
  <c r="H100" i="3" l="1"/>
  <c r="D37"/>
  <c r="H37" s="1"/>
  <c r="E101" l="1"/>
  <c r="I101" s="1"/>
  <c r="E37"/>
  <c r="I100"/>
  <c r="E38" l="1"/>
  <c r="I38" s="1"/>
  <c r="I37"/>
  <c r="I40" i="11"/>
  <c r="Z18"/>
  <c r="I19" i="16"/>
  <c r="AA5" i="11"/>
  <c r="L26"/>
  <c r="S30" i="2"/>
  <c r="P21"/>
  <c r="P15"/>
  <c r="N15"/>
  <c r="M12"/>
  <c r="M27" i="14"/>
  <c r="V15"/>
  <c r="M18"/>
  <c r="M15"/>
  <c r="AC27"/>
  <c r="K26" i="11"/>
  <c r="T30" i="2"/>
  <c r="N12"/>
  <c r="N27" i="14"/>
  <c r="U15"/>
  <c r="N18"/>
  <c r="N15"/>
  <c r="E25" i="2"/>
  <c r="U40" i="11"/>
  <c r="D25" i="2"/>
  <c r="E28"/>
  <c r="D28"/>
  <c r="AK34" i="11"/>
  <c r="AN34" s="1"/>
  <c r="AO34" i="19" s="1"/>
  <c r="AP34" s="1"/>
  <c r="E13" i="8"/>
  <c r="Q33" i="14"/>
  <c r="O36" i="2"/>
  <c r="D58" i="6"/>
  <c r="D27" l="1"/>
  <c r="D67" s="1"/>
  <c r="W10" i="2"/>
  <c r="G11" i="6"/>
  <c r="I12" i="20" s="1"/>
  <c r="J12" s="1"/>
  <c r="D6" i="6"/>
  <c r="X30" i="14"/>
  <c r="D120" i="4"/>
  <c r="F120" s="1"/>
  <c r="W45" i="14"/>
  <c r="B63" i="11"/>
  <c r="R45" i="14"/>
  <c r="Q45"/>
  <c r="Q21"/>
  <c r="Q34"/>
  <c r="Q36" s="1"/>
  <c r="W30"/>
  <c r="I73" i="11"/>
  <c r="I3" i="15"/>
  <c r="AA28" i="14"/>
  <c r="AA30" s="1"/>
  <c r="AD30"/>
  <c r="AG28"/>
  <c r="I3" i="18"/>
  <c r="I5" s="1"/>
  <c r="AD45" i="14"/>
  <c r="H67" i="5"/>
  <c r="AC81" i="11"/>
  <c r="M79"/>
  <c r="J27" i="16"/>
  <c r="F32" i="8"/>
  <c r="M32" s="1"/>
  <c r="G17" i="24"/>
  <c r="I31" i="11"/>
  <c r="AB9"/>
  <c r="AB5" s="1"/>
  <c r="I76"/>
  <c r="U70"/>
  <c r="U75"/>
  <c r="AE5"/>
  <c r="I43"/>
  <c r="Z12"/>
  <c r="Z5" s="1"/>
  <c r="B67"/>
  <c r="N48" i="2"/>
  <c r="O48"/>
  <c r="AE10"/>
  <c r="AB12"/>
  <c r="O50" i="5"/>
  <c r="I63" i="11"/>
  <c r="G23" i="24"/>
  <c r="J30" i="14"/>
  <c r="P55" i="11"/>
  <c r="P6"/>
  <c r="L12"/>
  <c r="G3" i="5"/>
  <c r="I10" i="17"/>
  <c r="G27" i="15"/>
  <c r="O30" i="14"/>
  <c r="O34"/>
  <c r="O36" s="1"/>
  <c r="M41" i="5"/>
  <c r="M7" s="1"/>
  <c r="AL5" i="11"/>
  <c r="O57" i="5"/>
  <c r="P57" s="1"/>
  <c r="AN38" i="11"/>
  <c r="AO38" i="19" s="1"/>
  <c r="AP38" s="1"/>
  <c r="O18" i="5"/>
  <c r="O18" i="21"/>
  <c r="P18" s="1"/>
  <c r="K12" i="2"/>
  <c r="X10"/>
  <c r="X12" s="1"/>
  <c r="K109" i="11"/>
  <c r="U98"/>
  <c r="I48" s="1"/>
  <c r="Q98"/>
  <c r="I47" s="1"/>
  <c r="K21" i="14"/>
  <c r="Y113" i="11"/>
  <c r="AK49" s="1"/>
  <c r="M28"/>
  <c r="AC28" s="1"/>
  <c r="Q106"/>
  <c r="Z47" s="1"/>
  <c r="AJ5"/>
  <c r="I18" i="16"/>
  <c r="I8" s="1"/>
  <c r="G16" i="24"/>
  <c r="M9" i="2"/>
  <c r="AJ26" i="11"/>
  <c r="M115"/>
  <c r="AM46" s="1"/>
  <c r="I26"/>
  <c r="AI12"/>
  <c r="J15" i="14"/>
  <c r="Y13"/>
  <c r="L28" i="17"/>
  <c r="M28" s="1"/>
  <c r="U85" i="11"/>
  <c r="J30"/>
  <c r="V30"/>
  <c r="R48"/>
  <c r="U48" s="1"/>
  <c r="U104"/>
  <c r="AC25" i="2"/>
  <c r="AC27" s="1"/>
  <c r="L27"/>
  <c r="E42" i="9"/>
  <c r="N56" i="5"/>
  <c r="P56" s="1"/>
  <c r="AK37" i="11"/>
  <c r="AN37" s="1"/>
  <c r="AO37" i="19" s="1"/>
  <c r="AP37" s="1"/>
  <c r="O43" i="5"/>
  <c r="O44" s="1"/>
  <c r="AM25" i="11"/>
  <c r="Y83"/>
  <c r="Y114"/>
  <c r="AL49" s="1"/>
  <c r="AK29"/>
  <c r="L109"/>
  <c r="F70" i="8"/>
  <c r="E70"/>
  <c r="AB87" i="11"/>
  <c r="U71"/>
  <c r="W7" i="2"/>
  <c r="J9"/>
  <c r="J37"/>
  <c r="J39" s="1"/>
  <c r="L33" i="14"/>
  <c r="AC28" i="2"/>
  <c r="AC30" s="1"/>
  <c r="L30"/>
  <c r="M29" i="11"/>
  <c r="AC29" s="1"/>
  <c r="AN29" s="1"/>
  <c r="AO29" i="19" s="1"/>
  <c r="AP29" s="1"/>
  <c r="I21" i="24"/>
  <c r="Z67" i="11"/>
  <c r="L21" i="2"/>
  <c r="X19"/>
  <c r="X21" s="1"/>
  <c r="AI26" i="11"/>
  <c r="X28" i="2"/>
  <c r="X30" s="1"/>
  <c r="E30"/>
  <c r="Z63" i="11"/>
  <c r="N30" i="14"/>
  <c r="I50" i="11"/>
  <c r="AB26"/>
  <c r="R45"/>
  <c r="U45" s="1"/>
  <c r="K15"/>
  <c r="M21"/>
  <c r="O55" i="5"/>
  <c r="AJ25" i="11"/>
  <c r="AI30"/>
  <c r="M61"/>
  <c r="Q66"/>
  <c r="I87"/>
  <c r="I82" s="1"/>
  <c r="U65"/>
  <c r="U86"/>
  <c r="M104"/>
  <c r="R46" s="1"/>
  <c r="U46" s="1"/>
  <c r="Q114"/>
  <c r="AL47" s="1"/>
  <c r="U113"/>
  <c r="AK48" s="1"/>
  <c r="AM50"/>
  <c r="I20" i="24"/>
  <c r="J16" i="15"/>
  <c r="D28"/>
  <c r="I20" i="16"/>
  <c r="E32" i="6"/>
  <c r="F40" i="8"/>
  <c r="M40" s="1"/>
  <c r="M30" i="14"/>
  <c r="U79" i="11"/>
  <c r="Q21"/>
  <c r="O30"/>
  <c r="AG21"/>
  <c r="AG23"/>
  <c r="AI25"/>
  <c r="K30"/>
  <c r="M60"/>
  <c r="Q65"/>
  <c r="U60"/>
  <c r="Y65"/>
  <c r="M103"/>
  <c r="N46" s="1"/>
  <c r="Q46" s="1"/>
  <c r="Q113"/>
  <c r="AK47" s="1"/>
  <c r="Y115"/>
  <c r="AM49" s="1"/>
  <c r="AK50"/>
  <c r="F20" i="24"/>
  <c r="F25"/>
  <c r="I23" i="15"/>
  <c r="D32" i="6"/>
  <c r="F37" i="8"/>
  <c r="M37" s="1"/>
  <c r="E68"/>
  <c r="E71"/>
  <c r="E72"/>
  <c r="L87" i="11"/>
  <c r="C44" i="9"/>
  <c r="D27" i="2"/>
  <c r="D37"/>
  <c r="D39" s="1"/>
  <c r="P18"/>
  <c r="O15"/>
  <c r="M21" i="14"/>
  <c r="L36" i="2"/>
  <c r="Y21" i="11"/>
  <c r="U80"/>
  <c r="L15"/>
  <c r="M23"/>
  <c r="AI18"/>
  <c r="AE25"/>
  <c r="Z26"/>
  <c r="W30"/>
  <c r="M66"/>
  <c r="Q79"/>
  <c r="U61"/>
  <c r="Y66"/>
  <c r="AL50"/>
  <c r="K18" i="24"/>
  <c r="I25"/>
  <c r="F23" i="15"/>
  <c r="L24" i="17"/>
  <c r="M24" s="1"/>
  <c r="E27" i="6"/>
  <c r="F38" i="8"/>
  <c r="M38" s="1"/>
  <c r="N21" i="14"/>
  <c r="Z45" i="11"/>
  <c r="I25"/>
  <c r="O52" i="5"/>
  <c r="O41"/>
  <c r="O25" i="11"/>
  <c r="M62"/>
  <c r="M70"/>
  <c r="U62"/>
  <c r="AK45"/>
  <c r="K17" i="24"/>
  <c r="J25"/>
  <c r="I28" i="15"/>
  <c r="F39" i="8"/>
  <c r="M39" s="1"/>
  <c r="K30" i="24"/>
  <c r="P36" i="2"/>
  <c r="X34" i="14"/>
  <c r="X36" s="1"/>
  <c r="U27"/>
  <c r="AC21" i="11"/>
  <c r="AK28"/>
  <c r="M85"/>
  <c r="I34" i="17"/>
  <c r="G50" i="5"/>
  <c r="G49" s="1"/>
  <c r="H26" i="16"/>
  <c r="C3" i="15"/>
  <c r="AD9" i="14"/>
  <c r="C3" i="18"/>
  <c r="AG7" i="14"/>
  <c r="AA7"/>
  <c r="Q86" i="11"/>
  <c r="AC86" s="1"/>
  <c r="E49" i="6" s="1"/>
  <c r="M80" i="11"/>
  <c r="E58" i="6"/>
  <c r="G58" s="1"/>
  <c r="AM87" i="11"/>
  <c r="AM82" s="1"/>
  <c r="AM57" s="1"/>
  <c r="F44" i="8"/>
  <c r="M44" s="1"/>
  <c r="AA87" i="11"/>
  <c r="AA82" s="1"/>
  <c r="U74"/>
  <c r="U76" s="1"/>
  <c r="S76"/>
  <c r="U72"/>
  <c r="W55"/>
  <c r="B45"/>
  <c r="N55"/>
  <c r="Q7"/>
  <c r="AC7" s="1"/>
  <c r="AN7" s="1"/>
  <c r="AO7" i="19" s="1"/>
  <c r="AP7" s="1"/>
  <c r="N6" i="11"/>
  <c r="X55"/>
  <c r="S118"/>
  <c r="M50" i="5"/>
  <c r="M49" s="1"/>
  <c r="AL30" i="11"/>
  <c r="L45" i="14"/>
  <c r="D122" i="4"/>
  <c r="F122" s="1"/>
  <c r="E3" i="21"/>
  <c r="D11" i="4"/>
  <c r="F11" s="1"/>
  <c r="E41" i="9"/>
  <c r="J9" i="14"/>
  <c r="Y7"/>
  <c r="G30" i="24"/>
  <c r="G18"/>
  <c r="L18" s="1"/>
  <c r="L78" i="11"/>
  <c r="L58" s="1"/>
  <c r="E27" i="14"/>
  <c r="E34"/>
  <c r="E36" s="1"/>
  <c r="P30"/>
  <c r="P34"/>
  <c r="P36" s="1"/>
  <c r="L15" i="2"/>
  <c r="AC13"/>
  <c r="AC15" s="1"/>
  <c r="X13"/>
  <c r="X15" s="1"/>
  <c r="L37"/>
  <c r="G21" i="15"/>
  <c r="B27" i="6"/>
  <c r="G26"/>
  <c r="I27" i="20" s="1"/>
  <c r="J27" s="1"/>
  <c r="AD43" i="11"/>
  <c r="B109"/>
  <c r="O55"/>
  <c r="O6"/>
  <c r="L52" i="5"/>
  <c r="AG33" i="11"/>
  <c r="G20" i="15"/>
  <c r="W34" i="14"/>
  <c r="M114" i="11"/>
  <c r="R43"/>
  <c r="AK43"/>
  <c r="M110"/>
  <c r="G19" i="6"/>
  <c r="I20" i="20" s="1"/>
  <c r="J20" s="1"/>
  <c r="M112" i="11"/>
  <c r="AF46" s="1"/>
  <c r="M111"/>
  <c r="AE46" s="1"/>
  <c r="I67"/>
  <c r="Q23"/>
  <c r="Z87"/>
  <c r="F21" i="24"/>
  <c r="G16" i="15"/>
  <c r="K16" s="1"/>
  <c r="Y23" i="11"/>
  <c r="AK36"/>
  <c r="AN36" s="1"/>
  <c r="AO36" i="19" s="1"/>
  <c r="AP36" s="1"/>
  <c r="M43" i="5"/>
  <c r="M44" s="1"/>
  <c r="AL25" i="11"/>
  <c r="V25"/>
  <c r="Y25" s="1"/>
  <c r="Y24"/>
  <c r="Q24"/>
  <c r="N25"/>
  <c r="Q25" s="1"/>
  <c r="O46" i="5"/>
  <c r="O45" s="1"/>
  <c r="AM26" i="11"/>
  <c r="L24" i="2"/>
  <c r="AC22"/>
  <c r="AC24" s="1"/>
  <c r="K9"/>
  <c r="K37"/>
  <c r="K39" s="1"/>
  <c r="W28"/>
  <c r="D30"/>
  <c r="S5" i="11"/>
  <c r="C53" i="9"/>
  <c r="C54"/>
  <c r="J26" i="11"/>
  <c r="M27"/>
  <c r="M26" s="1"/>
  <c r="N54" i="5"/>
  <c r="P54" s="1"/>
  <c r="AK35" i="11"/>
  <c r="AN35" s="1"/>
  <c r="AO35" i="19" s="1"/>
  <c r="AP35" s="1"/>
  <c r="N50" i="11"/>
  <c r="Q50" s="1"/>
  <c r="E21" i="24"/>
  <c r="R33" i="14"/>
  <c r="F55" i="8"/>
  <c r="J21" i="14"/>
  <c r="F33" i="8"/>
  <c r="M33" s="1"/>
  <c r="X7" i="2"/>
  <c r="J20" i="15"/>
  <c r="D21" i="24"/>
  <c r="AC110" i="11"/>
  <c r="M46" i="5"/>
  <c r="J21" i="24"/>
  <c r="J21" i="15"/>
  <c r="AC45" i="14"/>
  <c r="J12" i="2"/>
  <c r="R50" i="11"/>
  <c r="U50" s="1"/>
  <c r="L82"/>
  <c r="AB45"/>
  <c r="L25"/>
  <c r="AK23"/>
  <c r="AB25"/>
  <c r="AF26"/>
  <c r="S30"/>
  <c r="Q62"/>
  <c r="M75"/>
  <c r="Q75"/>
  <c r="Y62"/>
  <c r="Q108"/>
  <c r="AB47" s="1"/>
  <c r="AE45"/>
  <c r="AM45"/>
  <c r="U115"/>
  <c r="AM48" s="1"/>
  <c r="K16" i="24"/>
  <c r="E25"/>
  <c r="I24" i="15"/>
  <c r="D23"/>
  <c r="D28" i="6"/>
  <c r="F36" i="8"/>
  <c r="M36" s="1"/>
  <c r="M12" i="14"/>
  <c r="M34"/>
  <c r="M36" s="1"/>
  <c r="AA26" i="11"/>
  <c r="K18"/>
  <c r="M22"/>
  <c r="AK21"/>
  <c r="AA25"/>
  <c r="AE26"/>
  <c r="AK33"/>
  <c r="T30"/>
  <c r="T41" s="1"/>
  <c r="T54" s="1"/>
  <c r="T56" s="1"/>
  <c r="Q61"/>
  <c r="M72"/>
  <c r="Q70"/>
  <c r="U66"/>
  <c r="Q107"/>
  <c r="AA47" s="1"/>
  <c r="Q115"/>
  <c r="AM47" s="1"/>
  <c r="U114"/>
  <c r="AL48" s="1"/>
  <c r="AL51"/>
  <c r="AN51" s="1"/>
  <c r="AO51" i="19" s="1"/>
  <c r="AP51" s="1"/>
  <c r="J20" i="24"/>
  <c r="D24" i="15"/>
  <c r="F28"/>
  <c r="G25" i="6"/>
  <c r="I26" i="20" s="1"/>
  <c r="J26" s="1"/>
  <c r="E15" i="8"/>
  <c r="E65"/>
  <c r="E66"/>
  <c r="E62"/>
  <c r="J27" i="15"/>
  <c r="Y108" i="11"/>
  <c r="AB49" s="1"/>
  <c r="C45" i="9"/>
  <c r="E45" s="1"/>
  <c r="P24" i="2"/>
  <c r="X45" i="14"/>
  <c r="M48" i="5"/>
  <c r="K12" i="11"/>
  <c r="Q22"/>
  <c r="P30"/>
  <c r="M42" i="5"/>
  <c r="O42"/>
  <c r="L30" i="11"/>
  <c r="Q60"/>
  <c r="M71"/>
  <c r="Q71"/>
  <c r="Y60"/>
  <c r="AG65"/>
  <c r="AF45"/>
  <c r="E20" i="24"/>
  <c r="K23"/>
  <c r="E24" i="15"/>
  <c r="E28"/>
  <c r="I27" i="16"/>
  <c r="I26" s="1"/>
  <c r="I32" s="1"/>
  <c r="F34" i="8"/>
  <c r="M34" s="1"/>
  <c r="AC30" i="14"/>
  <c r="AB30" i="11"/>
  <c r="L18"/>
  <c r="K25"/>
  <c r="Z25"/>
  <c r="AF25"/>
  <c r="Z30"/>
  <c r="X30"/>
  <c r="M65"/>
  <c r="Q80"/>
  <c r="Q72"/>
  <c r="Y61"/>
  <c r="AG66"/>
  <c r="D20" i="24"/>
  <c r="D25"/>
  <c r="F24" i="15"/>
  <c r="E23"/>
  <c r="I23" i="16"/>
  <c r="I22" s="1"/>
  <c r="F35" i="8"/>
  <c r="M35" s="1"/>
  <c r="F67"/>
  <c r="M67" s="1"/>
  <c r="E67"/>
  <c r="C43" i="9"/>
  <c r="E43" s="1"/>
  <c r="E27" i="2"/>
  <c r="E37"/>
  <c r="E39" s="1"/>
  <c r="Z28" i="14"/>
  <c r="K30"/>
  <c r="AO5"/>
  <c r="V27"/>
  <c r="AC21"/>
  <c r="G24" i="6"/>
  <c r="I25" i="20" s="1"/>
  <c r="J25" s="1"/>
  <c r="U23" i="11"/>
  <c r="U55"/>
  <c r="AK22"/>
  <c r="AJ30"/>
  <c r="AJ41" s="1"/>
  <c r="M78"/>
  <c r="AA41"/>
  <c r="I38" i="5"/>
  <c r="I39" i="24"/>
  <c r="K32" i="5"/>
  <c r="D39" i="24"/>
  <c r="O67" i="5"/>
  <c r="K76" s="1"/>
  <c r="F39" i="24"/>
  <c r="E39"/>
  <c r="K47" i="5"/>
  <c r="K18"/>
  <c r="P18" s="1"/>
  <c r="K24"/>
  <c r="K42"/>
  <c r="G67"/>
  <c r="I50"/>
  <c r="I49" s="1"/>
  <c r="N50"/>
  <c r="K43"/>
  <c r="K44" s="1"/>
  <c r="E3"/>
  <c r="K41"/>
  <c r="M67"/>
  <c r="K71" s="1"/>
  <c r="K30"/>
  <c r="N53"/>
  <c r="P53" s="1"/>
  <c r="F3"/>
  <c r="E61" i="8"/>
  <c r="F13"/>
  <c r="J5" i="16" l="1"/>
  <c r="AC60" i="11"/>
  <c r="D40" i="16" s="1"/>
  <c r="I59" i="20"/>
  <c r="J59" s="1"/>
  <c r="L30" i="24"/>
  <c r="M34" i="26" s="1"/>
  <c r="N34" s="1"/>
  <c r="AD34" i="14"/>
  <c r="AD36" s="1"/>
  <c r="AC62" i="11"/>
  <c r="F40" i="16" s="1"/>
  <c r="G6" i="18"/>
  <c r="G8" s="1"/>
  <c r="D116" i="4"/>
  <c r="F116" s="1"/>
  <c r="Z82" i="11"/>
  <c r="AC61"/>
  <c r="E40" i="16" s="1"/>
  <c r="E53" s="1"/>
  <c r="K59" i="5"/>
  <c r="P59" s="1"/>
  <c r="K27"/>
  <c r="AN110" i="11"/>
  <c r="X9" i="2"/>
  <c r="S109" i="11"/>
  <c r="U112"/>
  <c r="M13" i="8"/>
  <c r="I45" i="14"/>
  <c r="D114" i="4"/>
  <c r="Z43" i="14"/>
  <c r="E73" i="8"/>
  <c r="L41" i="5"/>
  <c r="E60" i="8"/>
  <c r="Q53" i="21"/>
  <c r="R53" s="1"/>
  <c r="R53" i="5"/>
  <c r="I28" i="17"/>
  <c r="J28" s="1"/>
  <c r="K21" i="16"/>
  <c r="L21" s="1"/>
  <c r="O28" i="17" s="1"/>
  <c r="P28" s="1"/>
  <c r="Y75" i="11"/>
  <c r="AC75" s="1"/>
  <c r="I42" i="15" s="1"/>
  <c r="Y78" i="11"/>
  <c r="X58"/>
  <c r="X57" s="1"/>
  <c r="I41" i="5"/>
  <c r="B12" i="6"/>
  <c r="G12" s="1"/>
  <c r="I13" i="20" s="1"/>
  <c r="J13" s="1"/>
  <c r="G10" i="6"/>
  <c r="I11" i="20" s="1"/>
  <c r="N41" i="5"/>
  <c r="R18"/>
  <c r="Q18" i="21"/>
  <c r="R18" s="1"/>
  <c r="L46" i="5"/>
  <c r="L45" s="1"/>
  <c r="L50"/>
  <c r="L49" s="1"/>
  <c r="O17"/>
  <c r="O7" s="1"/>
  <c r="AM5" i="11"/>
  <c r="O17" i="21"/>
  <c r="N43" i="5"/>
  <c r="N44" s="1"/>
  <c r="O18" i="2"/>
  <c r="W16"/>
  <c r="S27"/>
  <c r="S37"/>
  <c r="S39" s="1"/>
  <c r="T37"/>
  <c r="T39" s="1"/>
  <c r="T27"/>
  <c r="F62" i="8"/>
  <c r="M62" s="1"/>
  <c r="F66"/>
  <c r="M66" s="1"/>
  <c r="F65"/>
  <c r="F15"/>
  <c r="M15" s="1"/>
  <c r="I42" i="5"/>
  <c r="N52"/>
  <c r="N32"/>
  <c r="N32" i="21"/>
  <c r="P32" s="1"/>
  <c r="N42" i="5"/>
  <c r="R54"/>
  <c r="Q54" i="21"/>
  <c r="R54" s="1"/>
  <c r="I46" i="5"/>
  <c r="I45" s="1"/>
  <c r="E53" i="9"/>
  <c r="E80" i="8"/>
  <c r="J50" i="11"/>
  <c r="M50"/>
  <c r="N55" i="5"/>
  <c r="P55" s="1"/>
  <c r="I32"/>
  <c r="J32" s="1"/>
  <c r="P32" s="1"/>
  <c r="U43" i="11"/>
  <c r="Y9" i="14"/>
  <c r="E5" i="21"/>
  <c r="E76"/>
  <c r="J87" i="11"/>
  <c r="M84"/>
  <c r="AC84" s="1"/>
  <c r="U91"/>
  <c r="M59"/>
  <c r="M63" s="1"/>
  <c r="J63"/>
  <c r="Y10"/>
  <c r="V9"/>
  <c r="Y59"/>
  <c r="Y63" s="1"/>
  <c r="V63"/>
  <c r="P54" i="2"/>
  <c r="AA18"/>
  <c r="X9" i="11"/>
  <c r="O57" i="2"/>
  <c r="L88" s="1"/>
  <c r="M88" s="1"/>
  <c r="P57"/>
  <c r="N57"/>
  <c r="AA21"/>
  <c r="Q6" i="11"/>
  <c r="L30" i="5"/>
  <c r="N51" i="2"/>
  <c r="O51"/>
  <c r="AB15"/>
  <c r="AE13"/>
  <c r="AG9" i="14"/>
  <c r="AH9" s="1"/>
  <c r="B50"/>
  <c r="AH7"/>
  <c r="J34" i="17"/>
  <c r="I33"/>
  <c r="J33" s="1"/>
  <c r="M70" i="5"/>
  <c r="M71" i="21"/>
  <c r="F72" i="8"/>
  <c r="M72" s="1"/>
  <c r="F71"/>
  <c r="M71" s="1"/>
  <c r="F68"/>
  <c r="M68" s="1"/>
  <c r="L42" i="5"/>
  <c r="S26" i="11"/>
  <c r="U27"/>
  <c r="U26" s="1"/>
  <c r="P31" i="18"/>
  <c r="Q31" s="1"/>
  <c r="E42" i="5"/>
  <c r="I26" i="17"/>
  <c r="J26" s="1"/>
  <c r="K19" i="16"/>
  <c r="L19" s="1"/>
  <c r="O26" i="17" s="1"/>
  <c r="P26" s="1"/>
  <c r="G42" i="5"/>
  <c r="Q83" i="11"/>
  <c r="U9" i="14"/>
  <c r="U34"/>
  <c r="J36" i="2"/>
  <c r="W34"/>
  <c r="N49" i="11"/>
  <c r="Q49" s="1"/>
  <c r="Y103"/>
  <c r="U31"/>
  <c r="U30" s="1"/>
  <c r="R30"/>
  <c r="Q27"/>
  <c r="Q26" s="1"/>
  <c r="N26"/>
  <c r="V26"/>
  <c r="Y27"/>
  <c r="Y26" s="1"/>
  <c r="R56" i="5"/>
  <c r="Q56" i="21"/>
  <c r="R56" s="1"/>
  <c r="N30" i="5"/>
  <c r="N30" i="21"/>
  <c r="P30" s="1"/>
  <c r="Q57"/>
  <c r="R57" s="1"/>
  <c r="R57" i="5"/>
  <c r="AG69" i="11"/>
  <c r="C43" i="15"/>
  <c r="AF73" i="11"/>
  <c r="D34" i="14"/>
  <c r="D27"/>
  <c r="Y25"/>
  <c r="Y27" s="1"/>
  <c r="AK13" i="11"/>
  <c r="AH12"/>
  <c r="H12" i="17"/>
  <c r="G3" i="21"/>
  <c r="G5" s="1"/>
  <c r="N10" i="17"/>
  <c r="N12" s="1"/>
  <c r="Y98" i="11"/>
  <c r="B26"/>
  <c r="AC27"/>
  <c r="M13"/>
  <c r="AC13" s="1"/>
  <c r="AN13" s="1"/>
  <c r="AO13" i="19" s="1"/>
  <c r="AP13" s="1"/>
  <c r="Q91" i="11"/>
  <c r="H6" i="18"/>
  <c r="L34" i="14"/>
  <c r="AE19"/>
  <c r="AE21" s="1"/>
  <c r="L21"/>
  <c r="H4" i="15"/>
  <c r="AE28" i="2"/>
  <c r="AB30"/>
  <c r="AE22"/>
  <c r="AB24"/>
  <c r="AE12"/>
  <c r="AF12" s="1"/>
  <c r="B48"/>
  <c r="F87"/>
  <c r="N50"/>
  <c r="U69" i="11"/>
  <c r="U73" s="1"/>
  <c r="U77" s="1"/>
  <c r="S73"/>
  <c r="I30"/>
  <c r="B87"/>
  <c r="B82" s="1"/>
  <c r="L34" i="17"/>
  <c r="F50" i="5"/>
  <c r="F49" s="1"/>
  <c r="J26" i="16"/>
  <c r="E50" i="5"/>
  <c r="E49" s="1"/>
  <c r="P39" i="18"/>
  <c r="M28" i="15"/>
  <c r="AH43" i="14"/>
  <c r="M3" i="15"/>
  <c r="O3" i="18"/>
  <c r="O5" s="1"/>
  <c r="AA43" i="14"/>
  <c r="AA45" s="1"/>
  <c r="E6" i="6"/>
  <c r="E39" s="1"/>
  <c r="G23"/>
  <c r="I24" i="20" s="1"/>
  <c r="J24" s="1"/>
  <c r="AA16" i="14"/>
  <c r="AA18" s="1"/>
  <c r="AD18"/>
  <c r="AG16"/>
  <c r="E3" i="18"/>
  <c r="E5" s="1"/>
  <c r="E3" i="15"/>
  <c r="AA13" i="14"/>
  <c r="AA15" s="1"/>
  <c r="AD15"/>
  <c r="AG13"/>
  <c r="D3" i="18"/>
  <c r="D5" s="1"/>
  <c r="D3" i="15"/>
  <c r="AH30" i="11"/>
  <c r="AK31"/>
  <c r="AK30" s="1"/>
  <c r="P12" i="2"/>
  <c r="P37"/>
  <c r="I5" i="11"/>
  <c r="I41" s="1"/>
  <c r="I24" i="5"/>
  <c r="J24" s="1"/>
  <c r="P30"/>
  <c r="AC34" i="14"/>
  <c r="AC36" s="1"/>
  <c r="X25" i="2"/>
  <c r="X27" s="1"/>
  <c r="F19" i="15"/>
  <c r="I19"/>
  <c r="S41" i="11"/>
  <c r="S54" s="1"/>
  <c r="S56" s="1"/>
  <c r="M83"/>
  <c r="J109"/>
  <c r="P52" i="5"/>
  <c r="G4" i="15"/>
  <c r="Q55" i="11"/>
  <c r="Y55"/>
  <c r="K27" i="16"/>
  <c r="AN21" i="11"/>
  <c r="AO21" i="19" s="1"/>
  <c r="AP21" s="1"/>
  <c r="E19" i="15"/>
  <c r="D19"/>
  <c r="AB82" i="11"/>
  <c r="AB57" s="1"/>
  <c r="AL41"/>
  <c r="K27" i="15"/>
  <c r="L23" i="24"/>
  <c r="I68" i="11"/>
  <c r="AM30"/>
  <c r="AB41"/>
  <c r="L17" i="24"/>
  <c r="AC79" i="11"/>
  <c r="J40" i="16" s="1"/>
  <c r="L47" i="17" s="1"/>
  <c r="M47" s="1"/>
  <c r="I77" i="11"/>
  <c r="E74" i="8"/>
  <c r="N29" i="5"/>
  <c r="N31" s="1"/>
  <c r="N29" i="21"/>
  <c r="H45" i="14"/>
  <c r="Y43"/>
  <c r="D113" i="4"/>
  <c r="F113" s="1"/>
  <c r="D47" i="3"/>
  <c r="H110"/>
  <c r="AB27" i="2"/>
  <c r="AE25"/>
  <c r="I43" i="5"/>
  <c r="I44" s="1"/>
  <c r="E59" i="8"/>
  <c r="T58" i="11"/>
  <c r="T57" s="1"/>
  <c r="U78"/>
  <c r="P58"/>
  <c r="P57" s="1"/>
  <c r="Q78"/>
  <c r="AC78" s="1"/>
  <c r="M42" i="15" s="1"/>
  <c r="P52" i="18" s="1"/>
  <c r="Q52" s="1"/>
  <c r="O45" i="2"/>
  <c r="I4" i="17"/>
  <c r="H6" s="1"/>
  <c r="N45" i="2"/>
  <c r="AE7"/>
  <c r="AB9"/>
  <c r="H4" i="16"/>
  <c r="K4" s="1"/>
  <c r="L4" s="1"/>
  <c r="F67" i="5"/>
  <c r="L30" i="25"/>
  <c r="L31"/>
  <c r="F86" i="8"/>
  <c r="M86" s="1"/>
  <c r="L43" i="5"/>
  <c r="L44" s="1"/>
  <c r="F80" i="8"/>
  <c r="M80" s="1"/>
  <c r="N46" i="5"/>
  <c r="D53" i="16"/>
  <c r="Z30" i="14"/>
  <c r="I53" i="16"/>
  <c r="I42"/>
  <c r="I44" s="1"/>
  <c r="I46" s="1"/>
  <c r="O21" i="2"/>
  <c r="W19"/>
  <c r="F41" i="16"/>
  <c r="AG62" i="11"/>
  <c r="E41" i="5"/>
  <c r="P30" i="18"/>
  <c r="Q30" s="1"/>
  <c r="AG70" i="11"/>
  <c r="D43" i="15"/>
  <c r="F42" i="16"/>
  <c r="F44" s="1"/>
  <c r="F46" s="1"/>
  <c r="F53"/>
  <c r="Q19" i="11"/>
  <c r="N18"/>
  <c r="Q18" s="1"/>
  <c r="Y10" i="2"/>
  <c r="Y12" s="1"/>
  <c r="W12"/>
  <c r="F6" i="18"/>
  <c r="F8" s="1"/>
  <c r="R68" i="14"/>
  <c r="R70" s="1"/>
  <c r="L27"/>
  <c r="AE25"/>
  <c r="AE27" s="1"/>
  <c r="F4" i="15"/>
  <c r="AD45" i="11"/>
  <c r="AG45" s="1"/>
  <c r="I109"/>
  <c r="I24" i="17"/>
  <c r="J24" s="1"/>
  <c r="G16" i="5"/>
  <c r="K17" i="16"/>
  <c r="L17" s="1"/>
  <c r="O24" i="17" s="1"/>
  <c r="P24" s="1"/>
  <c r="R49" i="11"/>
  <c r="U49" s="1"/>
  <c r="Y104"/>
  <c r="H21" i="24"/>
  <c r="K22"/>
  <c r="K21" s="1"/>
  <c r="N9" i="2"/>
  <c r="N37"/>
  <c r="N39" s="1"/>
  <c r="V9" i="14"/>
  <c r="V34"/>
  <c r="U30"/>
  <c r="L102" i="11"/>
  <c r="L90" s="1"/>
  <c r="M99"/>
  <c r="R102"/>
  <c r="R90" s="1"/>
  <c r="U99"/>
  <c r="K9" i="14"/>
  <c r="Z7"/>
  <c r="K34"/>
  <c r="K36" s="1"/>
  <c r="M55" i="8"/>
  <c r="N12" i="14"/>
  <c r="N34"/>
  <c r="N36" s="1"/>
  <c r="S45"/>
  <c r="D27" i="4"/>
  <c r="F27" s="1"/>
  <c r="V87" i="11"/>
  <c r="Y85"/>
  <c r="J25"/>
  <c r="M25" s="1"/>
  <c r="M24"/>
  <c r="R25"/>
  <c r="U25" s="1"/>
  <c r="U24"/>
  <c r="AG24"/>
  <c r="AD25"/>
  <c r="AG25" s="1"/>
  <c r="M74"/>
  <c r="J76"/>
  <c r="N45"/>
  <c r="AA43"/>
  <c r="AA42" s="1"/>
  <c r="AA54" s="1"/>
  <c r="AC107"/>
  <c r="AN107" s="1"/>
  <c r="AO107" i="19" s="1"/>
  <c r="AP107" s="1"/>
  <c r="H23" i="15"/>
  <c r="J23" s="1"/>
  <c r="J22"/>
  <c r="G29" i="6"/>
  <c r="I30" i="20" s="1"/>
  <c r="B28" i="6"/>
  <c r="G28" s="1"/>
  <c r="E81" i="8"/>
  <c r="E54" i="9"/>
  <c r="Y28" i="2"/>
  <c r="Y30" s="1"/>
  <c r="W30"/>
  <c r="J73" i="11"/>
  <c r="J77" s="1"/>
  <c r="M69"/>
  <c r="Q74"/>
  <c r="Q76" s="1"/>
  <c r="O76"/>
  <c r="Z43"/>
  <c r="AC106"/>
  <c r="AN106" s="1"/>
  <c r="AO106" i="19" s="1"/>
  <c r="AP106" s="1"/>
  <c r="K19" i="24"/>
  <c r="H20"/>
  <c r="K20" s="1"/>
  <c r="E46" i="5"/>
  <c r="M24" i="15"/>
  <c r="P35" i="18"/>
  <c r="I27" i="17"/>
  <c r="J27" s="1"/>
  <c r="G43" i="5"/>
  <c r="G44" s="1"/>
  <c r="K20" i="16"/>
  <c r="L20" s="1"/>
  <c r="O27" i="17" s="1"/>
  <c r="P27" s="1"/>
  <c r="E24" i="8"/>
  <c r="F24" s="1"/>
  <c r="M24" s="1"/>
  <c r="E36" i="9"/>
  <c r="M15" i="2"/>
  <c r="W13"/>
  <c r="M64" i="11"/>
  <c r="J67"/>
  <c r="M67" s="1"/>
  <c r="D16" i="5"/>
  <c r="L20" i="18"/>
  <c r="M20" s="1"/>
  <c r="H21" i="14"/>
  <c r="Y19"/>
  <c r="Y21" s="1"/>
  <c r="AC115" i="11"/>
  <c r="AN115" s="1"/>
  <c r="AO115" i="19" s="1"/>
  <c r="AP115" s="1"/>
  <c r="AM43" i="11"/>
  <c r="AM42" s="1"/>
  <c r="AO13" i="14"/>
  <c r="V45"/>
  <c r="AO6"/>
  <c r="V30"/>
  <c r="AD46" i="11"/>
  <c r="AG46" s="1"/>
  <c r="M109"/>
  <c r="AK27"/>
  <c r="AK26" s="1"/>
  <c r="AH26"/>
  <c r="V90"/>
  <c r="Y99"/>
  <c r="Z31" i="14"/>
  <c r="Z33" s="1"/>
  <c r="K33"/>
  <c r="D121" i="4"/>
  <c r="F121" s="1"/>
  <c r="U45" i="14"/>
  <c r="L30" i="17"/>
  <c r="F46" i="5"/>
  <c r="F45" s="1"/>
  <c r="J22" i="16"/>
  <c r="Y45" i="11"/>
  <c r="V45"/>
  <c r="AL46"/>
  <c r="AL42" s="1"/>
  <c r="AC114"/>
  <c r="AN114" s="1"/>
  <c r="AO114" i="19" s="1"/>
  <c r="AP114" s="1"/>
  <c r="AD26" i="11"/>
  <c r="AG27"/>
  <c r="AG26" s="1"/>
  <c r="D105" i="4"/>
  <c r="F105" s="1"/>
  <c r="W36" i="14"/>
  <c r="Q69" i="11"/>
  <c r="Q73" s="1"/>
  <c r="Q77" s="1"/>
  <c r="O73"/>
  <c r="Q104"/>
  <c r="AC104" s="1"/>
  <c r="AN104" s="1"/>
  <c r="AO104" i="19" s="1"/>
  <c r="AP104" s="1"/>
  <c r="R47" i="11"/>
  <c r="U47" s="1"/>
  <c r="U42" s="1"/>
  <c r="O5"/>
  <c r="O41" s="1"/>
  <c r="O54" s="1"/>
  <c r="O56" s="1"/>
  <c r="F3" i="21"/>
  <c r="L39" i="2"/>
  <c r="I21" i="14"/>
  <c r="Z19"/>
  <c r="H24" i="15"/>
  <c r="J25"/>
  <c r="J24" s="1"/>
  <c r="AG59" i="11"/>
  <c r="C41" i="16"/>
  <c r="AE63" i="11"/>
  <c r="C23" i="15"/>
  <c r="G23" s="1"/>
  <c r="K23" s="1"/>
  <c r="L33" i="18" s="1"/>
  <c r="M33" s="1"/>
  <c r="G22" i="15"/>
  <c r="K22" s="1"/>
  <c r="K18" i="14"/>
  <c r="Z16"/>
  <c r="C42" i="5"/>
  <c r="M22" i="26"/>
  <c r="N22" s="1"/>
  <c r="Q99" i="11"/>
  <c r="N102"/>
  <c r="N90" s="1"/>
  <c r="M98"/>
  <c r="J90"/>
  <c r="N54" i="2"/>
  <c r="O54"/>
  <c r="AE16"/>
  <c r="AB18"/>
  <c r="AB21"/>
  <c r="AE19"/>
  <c r="Q59" i="11"/>
  <c r="Q63" s="1"/>
  <c r="N63"/>
  <c r="U59"/>
  <c r="U63" s="1"/>
  <c r="R63"/>
  <c r="W9"/>
  <c r="AD12" i="14"/>
  <c r="AG10"/>
  <c r="AA10"/>
  <c r="AA12" s="1"/>
  <c r="B50" i="11"/>
  <c r="AG22"/>
  <c r="AD5"/>
  <c r="AD41" s="1"/>
  <c r="U64"/>
  <c r="R67"/>
  <c r="U67" s="1"/>
  <c r="AF18"/>
  <c r="AG19"/>
  <c r="T45" i="14"/>
  <c r="G33" i="6"/>
  <c r="B32"/>
  <c r="C25" i="24"/>
  <c r="G26"/>
  <c r="G29" i="15"/>
  <c r="C28"/>
  <c r="G28" s="1"/>
  <c r="AA37" i="2"/>
  <c r="P51"/>
  <c r="AA15"/>
  <c r="E64" i="6"/>
  <c r="E62"/>
  <c r="AA9" i="14"/>
  <c r="C5" i="18"/>
  <c r="AA19" i="14"/>
  <c r="AA21" s="1"/>
  <c r="AD21"/>
  <c r="AG19"/>
  <c r="H3" i="18"/>
  <c r="H3" i="15"/>
  <c r="J3" s="1"/>
  <c r="AD27" i="14"/>
  <c r="AG25"/>
  <c r="F3" i="18"/>
  <c r="F5" s="1"/>
  <c r="F3" i="15"/>
  <c r="G3" s="1"/>
  <c r="K3" s="1"/>
  <c r="AA25" i="14"/>
  <c r="AA27" s="1"/>
  <c r="K48" i="5"/>
  <c r="O24" i="2"/>
  <c r="W22"/>
  <c r="L26" i="17"/>
  <c r="M26" s="1"/>
  <c r="F42" i="5"/>
  <c r="AG75" i="11"/>
  <c r="I43" i="15"/>
  <c r="AG60" i="11"/>
  <c r="D41" i="16"/>
  <c r="D42" s="1"/>
  <c r="D44" s="1"/>
  <c r="D46" s="1"/>
  <c r="D48" s="1"/>
  <c r="R18" i="11"/>
  <c r="U19"/>
  <c r="E48" i="5"/>
  <c r="P37" i="18"/>
  <c r="Q37" s="1"/>
  <c r="AG72" i="11"/>
  <c r="F43" i="15"/>
  <c r="E86" i="8"/>
  <c r="E44" i="9"/>
  <c r="AK53" i="11"/>
  <c r="AN53" s="1"/>
  <c r="AO53" i="19" s="1"/>
  <c r="AP53" s="1"/>
  <c r="L25" i="17"/>
  <c r="M25" s="1"/>
  <c r="F41" i="5"/>
  <c r="E16"/>
  <c r="P20" i="18"/>
  <c r="Q20" s="1"/>
  <c r="E43" i="15"/>
  <c r="AG71" i="11"/>
  <c r="AG61"/>
  <c r="E41" i="16"/>
  <c r="E42" s="1"/>
  <c r="E44" s="1"/>
  <c r="E46" s="1"/>
  <c r="E48" s="1"/>
  <c r="N47" i="5"/>
  <c r="I25" i="17"/>
  <c r="J25" s="1"/>
  <c r="G41" i="5"/>
  <c r="K18" i="16"/>
  <c r="L18" s="1"/>
  <c r="O25" i="17" s="1"/>
  <c r="P25" s="1"/>
  <c r="X16" i="2"/>
  <c r="X18" s="1"/>
  <c r="L18"/>
  <c r="AC16"/>
  <c r="AC18" s="1"/>
  <c r="AE30" i="11"/>
  <c r="AE41" s="1"/>
  <c r="AG31"/>
  <c r="AG30" s="1"/>
  <c r="V109"/>
  <c r="Y111"/>
  <c r="Y31" i="14"/>
  <c r="Y33" s="1"/>
  <c r="J33"/>
  <c r="H34"/>
  <c r="H36" s="1"/>
  <c r="H12"/>
  <c r="Y10"/>
  <c r="Y12" s="1"/>
  <c r="N48" i="11"/>
  <c r="Q48" s="1"/>
  <c r="U103"/>
  <c r="AC103" s="1"/>
  <c r="AN103" s="1"/>
  <c r="AO103" i="19" s="1"/>
  <c r="AP103" s="1"/>
  <c r="B30" i="11"/>
  <c r="AC40"/>
  <c r="AN40" s="1"/>
  <c r="AO40" i="19" s="1"/>
  <c r="AP40" s="1"/>
  <c r="Y7" i="2"/>
  <c r="W9"/>
  <c r="M70" i="8"/>
  <c r="N48" i="5"/>
  <c r="Q64" i="11"/>
  <c r="N67"/>
  <c r="Q67" s="1"/>
  <c r="AF76"/>
  <c r="AG74"/>
  <c r="AG76" s="1"/>
  <c r="H43" i="15"/>
  <c r="J43" s="1"/>
  <c r="V47" i="11"/>
  <c r="Q105"/>
  <c r="Y47" s="1"/>
  <c r="H28" i="15"/>
  <c r="J28" s="1"/>
  <c r="J29"/>
  <c r="I30" i="17"/>
  <c r="G46" i="5"/>
  <c r="G45" s="1"/>
  <c r="K23" i="16"/>
  <c r="H22"/>
  <c r="D9" i="4"/>
  <c r="F9" s="1"/>
  <c r="E23" i="8"/>
  <c r="E35" i="9"/>
  <c r="C27"/>
  <c r="I34" i="14"/>
  <c r="I36" s="1"/>
  <c r="I12"/>
  <c r="Z10"/>
  <c r="AG79" i="11"/>
  <c r="J41" i="16"/>
  <c r="L48" i="17" s="1"/>
  <c r="M48" s="1"/>
  <c r="Q31" i="11"/>
  <c r="Q30" s="1"/>
  <c r="N30"/>
  <c r="AH25"/>
  <c r="AK25" s="1"/>
  <c r="AK24"/>
  <c r="N87"/>
  <c r="Q87" s="1"/>
  <c r="Q85"/>
  <c r="AC85" s="1"/>
  <c r="D49" i="6" s="1"/>
  <c r="AG64" i="11"/>
  <c r="AG67" s="1"/>
  <c r="AE67"/>
  <c r="J45"/>
  <c r="I102"/>
  <c r="AF43"/>
  <c r="AC112"/>
  <c r="AN112" s="1"/>
  <c r="AO112" i="19" s="1"/>
  <c r="AP112" s="1"/>
  <c r="H25" i="24"/>
  <c r="K26"/>
  <c r="K25" s="1"/>
  <c r="E43" i="5"/>
  <c r="E44" s="1"/>
  <c r="M23" i="15"/>
  <c r="P33" i="18" s="1"/>
  <c r="Q33" s="1"/>
  <c r="P32"/>
  <c r="Q32" s="1"/>
  <c r="L27" i="17"/>
  <c r="M27" s="1"/>
  <c r="F43" i="5"/>
  <c r="F44" s="1"/>
  <c r="Y15" i="14"/>
  <c r="X34" i="2"/>
  <c r="X36" s="1"/>
  <c r="K36"/>
  <c r="AB43" i="11"/>
  <c r="E27" i="5"/>
  <c r="P25" i="18"/>
  <c r="Q25" s="1"/>
  <c r="B25" i="11"/>
  <c r="AC25" s="1"/>
  <c r="AN25" s="1"/>
  <c r="AO25" i="19" s="1"/>
  <c r="AP25" s="1"/>
  <c r="AC24" i="11"/>
  <c r="U83"/>
  <c r="E79" i="8"/>
  <c r="E78" s="1"/>
  <c r="F78" s="1"/>
  <c r="M78" s="1"/>
  <c r="C51" i="9"/>
  <c r="E52"/>
  <c r="I6" i="18"/>
  <c r="I8" s="1"/>
  <c r="R71" i="14"/>
  <c r="R73" s="1"/>
  <c r="AE28"/>
  <c r="AE30" s="1"/>
  <c r="L30"/>
  <c r="I4" i="15"/>
  <c r="AK19" i="11"/>
  <c r="AH18"/>
  <c r="AK18" s="1"/>
  <c r="M15"/>
  <c r="M16"/>
  <c r="AC16" s="1"/>
  <c r="AN16" s="1"/>
  <c r="AO16" i="19" s="1"/>
  <c r="AP16" s="1"/>
  <c r="K15" i="14"/>
  <c r="Z13"/>
  <c r="AC111" i="11"/>
  <c r="AN111" s="1"/>
  <c r="AO111" i="19" s="1"/>
  <c r="AP111" s="1"/>
  <c r="AE43" i="11"/>
  <c r="AG43" s="1"/>
  <c r="N24" i="5"/>
  <c r="N24" i="21"/>
  <c r="P24" s="1"/>
  <c r="G25" i="15"/>
  <c r="K25" s="1"/>
  <c r="C24"/>
  <c r="G24" s="1"/>
  <c r="J18" i="14"/>
  <c r="Y16"/>
  <c r="Y18" s="1"/>
  <c r="B102" i="11"/>
  <c r="J43"/>
  <c r="AC99"/>
  <c r="P5"/>
  <c r="P41" s="1"/>
  <c r="P54" s="1"/>
  <c r="P56" s="1"/>
  <c r="AA30" i="2"/>
  <c r="O66"/>
  <c r="R88" s="1"/>
  <c r="N66"/>
  <c r="R87" s="1"/>
  <c r="C20" i="24"/>
  <c r="G20" s="1"/>
  <c r="L20" s="1"/>
  <c r="M24" i="26" s="1"/>
  <c r="N24" s="1"/>
  <c r="G19" i="24"/>
  <c r="L19" s="1"/>
  <c r="P60" i="2"/>
  <c r="N60"/>
  <c r="O60"/>
  <c r="AA24"/>
  <c r="K9" i="11"/>
  <c r="M9" s="1"/>
  <c r="M10"/>
  <c r="AC10" s="1"/>
  <c r="AN10" s="1"/>
  <c r="AO10" i="19" s="1"/>
  <c r="AP10" s="1"/>
  <c r="AA27" i="2"/>
  <c r="O63"/>
  <c r="P88" s="1"/>
  <c r="Q88" s="1"/>
  <c r="N63"/>
  <c r="F88"/>
  <c r="G88" s="1"/>
  <c r="O50"/>
  <c r="M19" i="11"/>
  <c r="AC19" s="1"/>
  <c r="AN19" s="1"/>
  <c r="AO19" i="19" s="1"/>
  <c r="AP19" s="1"/>
  <c r="G22" i="24"/>
  <c r="C21"/>
  <c r="Y64" i="11"/>
  <c r="V67"/>
  <c r="Y67" s="1"/>
  <c r="B5"/>
  <c r="H69" i="5"/>
  <c r="H83"/>
  <c r="AG30" i="14"/>
  <c r="AH30" s="1"/>
  <c r="AH28"/>
  <c r="B71"/>
  <c r="R34"/>
  <c r="R36" s="1"/>
  <c r="R21"/>
  <c r="C27" i="6"/>
  <c r="G27" s="1"/>
  <c r="I28" i="20" s="1"/>
  <c r="J28" s="1"/>
  <c r="O12" i="2"/>
  <c r="O37"/>
  <c r="N49" i="5"/>
  <c r="E69" i="8"/>
  <c r="M45" i="5"/>
  <c r="M60" s="1"/>
  <c r="M69" s="1"/>
  <c r="M72" s="1"/>
  <c r="X22" i="2"/>
  <c r="X24" s="1"/>
  <c r="AC23" i="11"/>
  <c r="AN23" s="1"/>
  <c r="AO23" i="19" s="1"/>
  <c r="AP23" s="1"/>
  <c r="J18" i="15"/>
  <c r="K20"/>
  <c r="AN33" i="11"/>
  <c r="AO33" i="19" s="1"/>
  <c r="AP33" s="1"/>
  <c r="K21" i="15"/>
  <c r="Z25" i="14"/>
  <c r="J34"/>
  <c r="J36" s="1"/>
  <c r="M4" i="15"/>
  <c r="D123" i="4" s="1"/>
  <c r="F123" s="1"/>
  <c r="O6" i="18"/>
  <c r="O8" s="1"/>
  <c r="AE43" i="14"/>
  <c r="R77"/>
  <c r="R79" s="1"/>
  <c r="S77" i="11"/>
  <c r="AA57"/>
  <c r="AC80"/>
  <c r="H40" i="16" s="1"/>
  <c r="U22" i="11"/>
  <c r="AC22" s="1"/>
  <c r="AN22" s="1"/>
  <c r="AO22" i="19" s="1"/>
  <c r="AP22" s="1"/>
  <c r="AF30" i="11"/>
  <c r="Z42"/>
  <c r="AC66"/>
  <c r="W25" i="2"/>
  <c r="W37" s="1"/>
  <c r="W39" s="1"/>
  <c r="AC65" i="11"/>
  <c r="AC19" i="2"/>
  <c r="AC21" s="1"/>
  <c r="Y31" i="11"/>
  <c r="Y30" s="1"/>
  <c r="M31"/>
  <c r="M30" s="1"/>
  <c r="R87"/>
  <c r="U87" s="1"/>
  <c r="AI5"/>
  <c r="AI41" s="1"/>
  <c r="M37" i="2"/>
  <c r="M39" s="1"/>
  <c r="L16" i="24"/>
  <c r="AN28" i="11"/>
  <c r="AO28" i="19" s="1"/>
  <c r="AP28" s="1"/>
  <c r="L5" i="11"/>
  <c r="L41" s="1"/>
  <c r="L54" s="1"/>
  <c r="L116" s="1"/>
  <c r="L57" s="1"/>
  <c r="Y28" i="14"/>
  <c r="Y30" s="1"/>
  <c r="E52" i="8"/>
  <c r="O49" i="5"/>
  <c r="G18" i="15"/>
  <c r="AC64" i="11"/>
  <c r="Z41"/>
  <c r="D117" i="4"/>
  <c r="B68" i="11"/>
  <c r="D39" i="6"/>
  <c r="E46" i="8"/>
  <c r="J38" i="5"/>
  <c r="D51" i="4"/>
  <c r="F51" s="1"/>
  <c r="L66" i="5"/>
  <c r="K50"/>
  <c r="K49" s="1"/>
  <c r="K21"/>
  <c r="P21" s="1"/>
  <c r="K23"/>
  <c r="K25" s="1"/>
  <c r="K26"/>
  <c r="K28" s="1"/>
  <c r="K46"/>
  <c r="K45" s="1"/>
  <c r="C39" i="24"/>
  <c r="G39" s="1"/>
  <c r="H47" i="3" l="1"/>
  <c r="E48"/>
  <c r="K18" i="15"/>
  <c r="M17" i="11"/>
  <c r="Z54"/>
  <c r="Z56" s="1"/>
  <c r="Q20"/>
  <c r="U82"/>
  <c r="K5"/>
  <c r="K41" s="1"/>
  <c r="K54" s="1"/>
  <c r="B41"/>
  <c r="AN24"/>
  <c r="AO24" i="19" s="1"/>
  <c r="AP24" s="1"/>
  <c r="S58" i="11"/>
  <c r="S57" s="1"/>
  <c r="C39" i="6"/>
  <c r="P71" i="5"/>
  <c r="D68" i="6"/>
  <c r="D64"/>
  <c r="G34" i="8"/>
  <c r="Y69" i="11"/>
  <c r="AC69" s="1"/>
  <c r="C3" i="5"/>
  <c r="C5" s="1"/>
  <c r="I23"/>
  <c r="F61" i="8"/>
  <c r="M61" s="1"/>
  <c r="Y71" i="11"/>
  <c r="AC71" s="1"/>
  <c r="E42" i="15" s="1"/>
  <c r="Y74" i="11"/>
  <c r="Y76" s="1"/>
  <c r="W76"/>
  <c r="D3" i="5"/>
  <c r="I116" i="3"/>
  <c r="D26" i="4"/>
  <c r="E7" i="8"/>
  <c r="F7" s="1"/>
  <c r="M7" s="1"/>
  <c r="C12" i="9"/>
  <c r="E117" i="3"/>
  <c r="I117" s="1"/>
  <c r="F58" i="8"/>
  <c r="M58" s="1"/>
  <c r="E58"/>
  <c r="N23" i="5"/>
  <c r="N23" i="21"/>
  <c r="AL57" i="11"/>
  <c r="M77" i="5"/>
  <c r="M78" i="21"/>
  <c r="D65" i="4"/>
  <c r="F65" s="1"/>
  <c r="B58" i="11"/>
  <c r="C16" i="5"/>
  <c r="M20" i="26"/>
  <c r="N20" s="1"/>
  <c r="I47" i="17"/>
  <c r="J47" s="1"/>
  <c r="K40" i="16"/>
  <c r="D119" i="4"/>
  <c r="F119" s="1"/>
  <c r="AE45" i="14"/>
  <c r="AB25"/>
  <c r="AB27" s="1"/>
  <c r="Z27"/>
  <c r="P87" i="2"/>
  <c r="N65"/>
  <c r="M11" i="11"/>
  <c r="N88" i="2"/>
  <c r="O88" s="1"/>
  <c r="O62"/>
  <c r="N90"/>
  <c r="P62"/>
  <c r="AN99" i="11"/>
  <c r="AC102"/>
  <c r="M43"/>
  <c r="B90"/>
  <c r="D46" i="5"/>
  <c r="K24" i="15"/>
  <c r="L35" i="18"/>
  <c r="Z15" i="14"/>
  <c r="AB13"/>
  <c r="AB15" s="1"/>
  <c r="M45" i="11"/>
  <c r="I90"/>
  <c r="E27" i="9"/>
  <c r="D8" i="4"/>
  <c r="F8" s="1"/>
  <c r="E17" i="8"/>
  <c r="E28" s="1"/>
  <c r="F23"/>
  <c r="L23" i="16"/>
  <c r="K22"/>
  <c r="J30" i="17"/>
  <c r="I29"/>
  <c r="J29" s="1"/>
  <c r="Y9" i="2"/>
  <c r="AE49" i="11"/>
  <c r="Y109"/>
  <c r="W24" i="2"/>
  <c r="Y22"/>
  <c r="Y24" s="1"/>
  <c r="J3" i="18"/>
  <c r="J5" s="1"/>
  <c r="H5"/>
  <c r="AA39" i="2"/>
  <c r="L4" i="17"/>
  <c r="G32" i="6"/>
  <c r="I34" i="20"/>
  <c r="AG18" i="11"/>
  <c r="AF5"/>
  <c r="AF41" s="1"/>
  <c r="E53" i="14"/>
  <c r="B53"/>
  <c r="B55" s="1"/>
  <c r="AG12"/>
  <c r="AH12" s="1"/>
  <c r="AH10"/>
  <c r="W5" i="11"/>
  <c r="W41" s="1"/>
  <c r="W54" s="1"/>
  <c r="W56" s="1"/>
  <c r="B57" i="2"/>
  <c r="AE21"/>
  <c r="AF21" s="1"/>
  <c r="J88"/>
  <c r="K88" s="1"/>
  <c r="O56"/>
  <c r="AB16" i="14"/>
  <c r="AB18" s="1"/>
  <c r="Z18"/>
  <c r="D43" i="5"/>
  <c r="D44" s="1"/>
  <c r="L32" i="18"/>
  <c r="M32" s="1"/>
  <c r="K5" i="16"/>
  <c r="L5" s="1"/>
  <c r="L7" i="17"/>
  <c r="W15" i="2"/>
  <c r="Y13"/>
  <c r="Y15" s="1"/>
  <c r="M73" i="11"/>
  <c r="Z9" i="14"/>
  <c r="AB7"/>
  <c r="Z34"/>
  <c r="Z36" s="1"/>
  <c r="J48" i="11"/>
  <c r="U102"/>
  <c r="M48" s="1"/>
  <c r="M102"/>
  <c r="M46" s="1"/>
  <c r="J46"/>
  <c r="V36" i="14"/>
  <c r="F47" i="16"/>
  <c r="F48"/>
  <c r="N70" i="2"/>
  <c r="M72" s="1"/>
  <c r="N47"/>
  <c r="D87"/>
  <c r="O47"/>
  <c r="O70"/>
  <c r="N72" s="1"/>
  <c r="D88"/>
  <c r="F59" i="8"/>
  <c r="M59" s="1"/>
  <c r="P29" i="21"/>
  <c r="N31"/>
  <c r="M27" i="26"/>
  <c r="N27" s="1"/>
  <c r="C47" i="5"/>
  <c r="J47" s="1"/>
  <c r="P47" s="1"/>
  <c r="D48"/>
  <c r="J48" s="1"/>
  <c r="P48" s="1"/>
  <c r="L37" i="18"/>
  <c r="M37" s="1"/>
  <c r="Q52" i="21"/>
  <c r="R52" s="1"/>
  <c r="R52" i="5"/>
  <c r="P39" i="2"/>
  <c r="AG15" i="14"/>
  <c r="AH15" s="1"/>
  <c r="AH13"/>
  <c r="B56"/>
  <c r="AG43"/>
  <c r="B77" s="1"/>
  <c r="B79" s="1"/>
  <c r="X89"/>
  <c r="X90"/>
  <c r="Q39" i="18"/>
  <c r="P38"/>
  <c r="Q38" s="1"/>
  <c r="M34" i="17"/>
  <c r="L33"/>
  <c r="M33" s="1"/>
  <c r="G87" i="2"/>
  <c r="F91"/>
  <c r="AE24"/>
  <c r="AF24" s="1"/>
  <c r="B60"/>
  <c r="AE30"/>
  <c r="AF30" s="1"/>
  <c r="B66"/>
  <c r="E66" s="1"/>
  <c r="AE34" i="14"/>
  <c r="D3" i="21"/>
  <c r="L36" i="14"/>
  <c r="D107" i="4"/>
  <c r="F107" s="1"/>
  <c r="B47" i="11"/>
  <c r="M12"/>
  <c r="AH5"/>
  <c r="AH41" s="1"/>
  <c r="AK12"/>
  <c r="D36" i="14"/>
  <c r="D103" i="4"/>
  <c r="N71" i="5"/>
  <c r="M78"/>
  <c r="M80" s="1"/>
  <c r="E50" i="14"/>
  <c r="B51" i="2"/>
  <c r="AE15"/>
  <c r="AF15" s="1"/>
  <c r="H88"/>
  <c r="I88" s="1"/>
  <c r="O53"/>
  <c r="Q5" i="11"/>
  <c r="Q41" s="1"/>
  <c r="Q8"/>
  <c r="AC6"/>
  <c r="L90" i="2"/>
  <c r="P59"/>
  <c r="X5" i="11"/>
  <c r="X41" s="1"/>
  <c r="X54" s="1"/>
  <c r="X56" s="1"/>
  <c r="V5"/>
  <c r="V41" s="1"/>
  <c r="Y9"/>
  <c r="C49" i="6"/>
  <c r="C64" s="1"/>
  <c r="AC87" i="11"/>
  <c r="Q32" i="21"/>
  <c r="R32" s="1"/>
  <c r="R32" i="5"/>
  <c r="Q55" i="21"/>
  <c r="R55" s="1"/>
  <c r="R55" i="5"/>
  <c r="W18" i="2"/>
  <c r="Y16"/>
  <c r="Y18" s="1"/>
  <c r="O7" i="21"/>
  <c r="O60" s="1"/>
  <c r="O70" s="1"/>
  <c r="O73" s="1"/>
  <c r="P17"/>
  <c r="F60" i="8"/>
  <c r="M60" s="1"/>
  <c r="F73"/>
  <c r="F114" i="4"/>
  <c r="D115"/>
  <c r="F115" s="1"/>
  <c r="Q59" i="21"/>
  <c r="R59" s="1"/>
  <c r="R59" i="5"/>
  <c r="AC67" i="11"/>
  <c r="AK20"/>
  <c r="G3" i="18"/>
  <c r="AA34" i="14"/>
  <c r="AA36" s="1"/>
  <c r="K29" i="15"/>
  <c r="R68" i="11"/>
  <c r="R58" s="1"/>
  <c r="N68"/>
  <c r="N58" s="1"/>
  <c r="AE68"/>
  <c r="AC37" i="2"/>
  <c r="AC105" i="11"/>
  <c r="AN105" s="1"/>
  <c r="AO105" i="19" s="1"/>
  <c r="AP105" s="1"/>
  <c r="Y42" i="11"/>
  <c r="O77"/>
  <c r="O58" s="1"/>
  <c r="O57" s="1"/>
  <c r="G41" i="16"/>
  <c r="AB28" i="14"/>
  <c r="AB30" s="1"/>
  <c r="AC59" i="11"/>
  <c r="AC83"/>
  <c r="B49" i="6" s="1"/>
  <c r="P24" i="5"/>
  <c r="AC15" i="11"/>
  <c r="G43" i="15"/>
  <c r="K43" s="1"/>
  <c r="L53" i="18" s="1"/>
  <c r="M53" s="1"/>
  <c r="N82" i="11"/>
  <c r="AG34" i="14"/>
  <c r="AF34" s="1"/>
  <c r="V68" i="11"/>
  <c r="V58" s="1"/>
  <c r="J68"/>
  <c r="J58" s="1"/>
  <c r="Y34" i="14"/>
  <c r="AD42" i="11"/>
  <c r="R42"/>
  <c r="O60" i="5"/>
  <c r="O69" s="1"/>
  <c r="O72" s="1"/>
  <c r="AC109" i="11"/>
  <c r="Y70"/>
  <c r="AC70" s="1"/>
  <c r="D42" i="15" s="1"/>
  <c r="F79" i="8"/>
  <c r="M79" s="1"/>
  <c r="Y72" i="11"/>
  <c r="AC72" s="1"/>
  <c r="F42" i="15" s="1"/>
  <c r="R21" i="5"/>
  <c r="Q21" i="21"/>
  <c r="R21" s="1"/>
  <c r="H116" i="3"/>
  <c r="D53"/>
  <c r="H53" s="1"/>
  <c r="D28" i="4"/>
  <c r="F28" s="1"/>
  <c r="F52" i="8"/>
  <c r="M52" s="1"/>
  <c r="I110" i="3"/>
  <c r="E9" i="8"/>
  <c r="F9" s="1"/>
  <c r="M9" s="1"/>
  <c r="E111" i="3"/>
  <c r="I111" s="1"/>
  <c r="C15" i="9"/>
  <c r="E15" s="1"/>
  <c r="I22" i="17"/>
  <c r="J22" s="1"/>
  <c r="G14" i="5"/>
  <c r="J14" s="1"/>
  <c r="P14" s="1"/>
  <c r="H39" i="24"/>
  <c r="D66" i="4"/>
  <c r="F66" s="1"/>
  <c r="F117"/>
  <c r="D118"/>
  <c r="F118" s="1"/>
  <c r="D27" i="5"/>
  <c r="J27" s="1"/>
  <c r="P27" s="1"/>
  <c r="L25" i="18"/>
  <c r="M25" s="1"/>
  <c r="E53" i="8"/>
  <c r="W27" i="2"/>
  <c r="Y25"/>
  <c r="Y27" s="1"/>
  <c r="L31" i="18"/>
  <c r="M31" s="1"/>
  <c r="D42" i="5"/>
  <c r="D41"/>
  <c r="L30" i="18"/>
  <c r="M30" s="1"/>
  <c r="E57" i="8"/>
  <c r="O39" i="2"/>
  <c r="B73" i="14"/>
  <c r="F71"/>
  <c r="G71"/>
  <c r="L22" i="24"/>
  <c r="G21"/>
  <c r="S88" i="2"/>
  <c r="U88"/>
  <c r="N87"/>
  <c r="N62"/>
  <c r="C43" i="5"/>
  <c r="M23" i="26"/>
  <c r="N23" s="1"/>
  <c r="R91" i="2"/>
  <c r="S87"/>
  <c r="C40" i="9"/>
  <c r="D12" i="4"/>
  <c r="F12" s="1"/>
  <c r="E51" i="9"/>
  <c r="Z12" i="14"/>
  <c r="AB10"/>
  <c r="AB12" s="1"/>
  <c r="U18" i="11"/>
  <c r="R5"/>
  <c r="R41" s="1"/>
  <c r="R54" s="1"/>
  <c r="AG27" i="14"/>
  <c r="AH27" s="1"/>
  <c r="B68"/>
  <c r="B70" s="1"/>
  <c r="AH25"/>
  <c r="F68" s="1"/>
  <c r="AG21"/>
  <c r="AH21" s="1"/>
  <c r="B62"/>
  <c r="AH19"/>
  <c r="H62" s="1"/>
  <c r="H90" i="2"/>
  <c r="P53"/>
  <c r="P70"/>
  <c r="L26" i="24"/>
  <c r="G25"/>
  <c r="L25" s="1"/>
  <c r="AE18" i="2"/>
  <c r="AF18" s="1"/>
  <c r="B54"/>
  <c r="J87"/>
  <c r="N56"/>
  <c r="I46" i="11"/>
  <c r="M90"/>
  <c r="AC98"/>
  <c r="AN98" s="1"/>
  <c r="AO98" i="19" s="1"/>
  <c r="AP98" s="1"/>
  <c r="J47" i="11"/>
  <c r="Q102"/>
  <c r="M47" s="1"/>
  <c r="Z21" i="14"/>
  <c r="AB19"/>
  <c r="AB21" s="1"/>
  <c r="F5" i="21"/>
  <c r="F76"/>
  <c r="M30" i="17"/>
  <c r="L29"/>
  <c r="M29" s="1"/>
  <c r="Y102" i="11"/>
  <c r="M49" s="1"/>
  <c r="J49"/>
  <c r="Q35" i="18"/>
  <c r="P34"/>
  <c r="Q34" s="1"/>
  <c r="I29" i="20"/>
  <c r="J29" s="1"/>
  <c r="J30"/>
  <c r="Q45" i="11"/>
  <c r="Q42" s="1"/>
  <c r="Q54" s="1"/>
  <c r="Q56" s="1"/>
  <c r="N42"/>
  <c r="M76"/>
  <c r="AC74"/>
  <c r="Y87"/>
  <c r="Y82" s="1"/>
  <c r="V82"/>
  <c r="W21" i="2"/>
  <c r="Y19"/>
  <c r="Y21" s="1"/>
  <c r="I48" i="16"/>
  <c r="I47"/>
  <c r="AB33" i="2"/>
  <c r="AE31"/>
  <c r="AE37" s="1"/>
  <c r="M19" i="15"/>
  <c r="P24" i="18"/>
  <c r="E26" i="5"/>
  <c r="E28" s="1"/>
  <c r="L33" i="25"/>
  <c r="C3" i="21"/>
  <c r="D90" i="4"/>
  <c r="F90" s="1"/>
  <c r="AC31" i="25"/>
  <c r="S60"/>
  <c r="B45" i="2"/>
  <c r="AE9"/>
  <c r="AF9" s="1"/>
  <c r="B63"/>
  <c r="AE27"/>
  <c r="AF27" s="1"/>
  <c r="D125" i="4"/>
  <c r="F125" s="1"/>
  <c r="Y45" i="14"/>
  <c r="F74" i="8"/>
  <c r="M74" s="1"/>
  <c r="C41" i="5"/>
  <c r="M21" i="26"/>
  <c r="N21" s="1"/>
  <c r="K26" i="16"/>
  <c r="L26" s="1"/>
  <c r="L27"/>
  <c r="O34" i="17" s="1"/>
  <c r="R30" i="5"/>
  <c r="Q30" i="21"/>
  <c r="R30" s="1"/>
  <c r="AH16" i="14"/>
  <c r="B59"/>
  <c r="B61" s="1"/>
  <c r="C19" i="15"/>
  <c r="G17"/>
  <c r="B50" i="2"/>
  <c r="D48"/>
  <c r="H8" i="18"/>
  <c r="J6"/>
  <c r="AC26" i="11"/>
  <c r="AN27"/>
  <c r="I49"/>
  <c r="AC49" s="1"/>
  <c r="Y34" i="2"/>
  <c r="Y36" s="1"/>
  <c r="W36"/>
  <c r="U36" i="14"/>
  <c r="D106" i="4"/>
  <c r="F106" s="1"/>
  <c r="N72" i="21"/>
  <c r="M79"/>
  <c r="B52" i="14"/>
  <c r="H87" i="2"/>
  <c r="N53"/>
  <c r="L87"/>
  <c r="N59"/>
  <c r="J90"/>
  <c r="K90" s="1"/>
  <c r="P56"/>
  <c r="AC91" i="11"/>
  <c r="B48"/>
  <c r="AC48" s="1"/>
  <c r="U90"/>
  <c r="M87"/>
  <c r="M82" s="1"/>
  <c r="J82"/>
  <c r="M65" i="8"/>
  <c r="F69"/>
  <c r="M69" s="1"/>
  <c r="J11" i="20"/>
  <c r="H19" i="15"/>
  <c r="J17"/>
  <c r="J19" s="1"/>
  <c r="Z45" i="14"/>
  <c r="AB43"/>
  <c r="AB45" s="1"/>
  <c r="AF48" i="11"/>
  <c r="AG48" s="1"/>
  <c r="U109"/>
  <c r="AO110" i="19"/>
  <c r="AN109" i="11"/>
  <c r="R82"/>
  <c r="J42"/>
  <c r="K28" i="15"/>
  <c r="AD54" i="11"/>
  <c r="U68"/>
  <c r="U58" s="1"/>
  <c r="Q68"/>
  <c r="Q58" s="1"/>
  <c r="J42" i="5"/>
  <c r="P42" s="1"/>
  <c r="V42" i="11"/>
  <c r="V54" s="1"/>
  <c r="V56" s="1"/>
  <c r="J16" i="5"/>
  <c r="P16" s="1"/>
  <c r="E45"/>
  <c r="AG63" i="11"/>
  <c r="N45" i="5"/>
  <c r="AB37" i="2"/>
  <c r="AB39" s="1"/>
  <c r="I58" i="11"/>
  <c r="AL54"/>
  <c r="AC31"/>
  <c r="J4" i="15"/>
  <c r="K4" s="1"/>
  <c r="AF77" i="11"/>
  <c r="AF58" s="1"/>
  <c r="AF57" s="1"/>
  <c r="AG73"/>
  <c r="AG77" s="1"/>
  <c r="Q82"/>
  <c r="N5"/>
  <c r="N41" s="1"/>
  <c r="Y68"/>
  <c r="M68"/>
  <c r="AM41"/>
  <c r="AM54" s="1"/>
  <c r="X37" i="2"/>
  <c r="X39" s="1"/>
  <c r="P38" i="5"/>
  <c r="F46" i="8"/>
  <c r="G46" s="1"/>
  <c r="E48"/>
  <c r="K20" i="5"/>
  <c r="K17"/>
  <c r="B74" i="14" l="1"/>
  <c r="B76" s="1"/>
  <c r="Y90" i="11"/>
  <c r="J41" i="5"/>
  <c r="P41" s="1"/>
  <c r="R41" s="1"/>
  <c r="AF42" i="11"/>
  <c r="AF54" s="1"/>
  <c r="S91" i="2"/>
  <c r="H71" i="14"/>
  <c r="H74" s="1"/>
  <c r="H76" s="1"/>
  <c r="L62" i="5"/>
  <c r="E49" i="8"/>
  <c r="Q16" i="21"/>
  <c r="R16" s="1"/>
  <c r="R16" i="5"/>
  <c r="D59" i="4"/>
  <c r="F59" s="1"/>
  <c r="Q42" i="21"/>
  <c r="R42" s="1"/>
  <c r="R42" i="5"/>
  <c r="AP110" i="19"/>
  <c r="AO109"/>
  <c r="AP109" s="1"/>
  <c r="M81" i="21"/>
  <c r="R79"/>
  <c r="D59" i="14"/>
  <c r="E59"/>
  <c r="E63" i="2"/>
  <c r="B65"/>
  <c r="D45"/>
  <c r="B47"/>
  <c r="F54"/>
  <c r="B56"/>
  <c r="P72"/>
  <c r="O72"/>
  <c r="I90"/>
  <c r="V90"/>
  <c r="Y90" s="1"/>
  <c r="D62" i="14"/>
  <c r="B64"/>
  <c r="F70"/>
  <c r="K68"/>
  <c r="K70" s="1"/>
  <c r="L87"/>
  <c r="F74"/>
  <c r="F76" s="1"/>
  <c r="U20" i="11"/>
  <c r="U5"/>
  <c r="U41" s="1"/>
  <c r="U54" s="1"/>
  <c r="U56" s="1"/>
  <c r="K71" i="14"/>
  <c r="K73" s="1"/>
  <c r="F73"/>
  <c r="N87"/>
  <c r="F53" i="8"/>
  <c r="M53" s="1"/>
  <c r="O65" i="5"/>
  <c r="P76"/>
  <c r="AG36" i="14"/>
  <c r="AF36"/>
  <c r="AN15" i="11"/>
  <c r="AC17"/>
  <c r="AC39" i="2"/>
  <c r="L39" i="18"/>
  <c r="D50" i="5"/>
  <c r="D49" s="1"/>
  <c r="G5" i="18"/>
  <c r="K3"/>
  <c r="K5" s="1"/>
  <c r="O66" i="21"/>
  <c r="O79" s="1"/>
  <c r="O81" s="1"/>
  <c r="P77"/>
  <c r="R77" s="1"/>
  <c r="M90" i="2"/>
  <c r="T112" s="1"/>
  <c r="T105"/>
  <c r="F103" i="4"/>
  <c r="D102"/>
  <c r="F102" s="1"/>
  <c r="AC12" i="11"/>
  <c r="M14"/>
  <c r="AC47"/>
  <c r="AN47" s="1"/>
  <c r="AO47" i="19" s="1"/>
  <c r="AP47" s="1"/>
  <c r="B42" i="11"/>
  <c r="B54" s="1"/>
  <c r="B116" s="1"/>
  <c r="AE36" i="14"/>
  <c r="D101" i="4"/>
  <c r="F101" s="1"/>
  <c r="K66" i="2"/>
  <c r="AF28" s="1"/>
  <c r="R79"/>
  <c r="F60"/>
  <c r="E60"/>
  <c r="B62"/>
  <c r="Y90" i="14"/>
  <c r="I77"/>
  <c r="I79" s="1"/>
  <c r="AA90"/>
  <c r="R47" i="5"/>
  <c r="Q47" i="21"/>
  <c r="R47" s="1"/>
  <c r="V88" i="2"/>
  <c r="E88"/>
  <c r="W88" s="1"/>
  <c r="E57"/>
  <c r="F57"/>
  <c r="L80" s="1"/>
  <c r="M80" s="1"/>
  <c r="B59"/>
  <c r="P53" i="14"/>
  <c r="Q53"/>
  <c r="E55"/>
  <c r="K53"/>
  <c r="K55" s="1"/>
  <c r="AG5" i="11"/>
  <c r="AG41" s="1"/>
  <c r="AG20"/>
  <c r="AG49"/>
  <c r="AG42" s="1"/>
  <c r="AG54" s="1"/>
  <c r="AE42"/>
  <c r="AE54" s="1"/>
  <c r="L22" i="16"/>
  <c r="O30" i="17"/>
  <c r="L34" i="18"/>
  <c r="M34" s="1"/>
  <c r="M35"/>
  <c r="M42" i="11"/>
  <c r="AC43"/>
  <c r="AO99" i="19"/>
  <c r="AN102" i="11"/>
  <c r="O90" i="2"/>
  <c r="T111" s="1"/>
  <c r="T110"/>
  <c r="N25" i="5"/>
  <c r="N7"/>
  <c r="N60" s="1"/>
  <c r="E12" i="9"/>
  <c r="F26" i="4"/>
  <c r="D29"/>
  <c r="F29" s="1"/>
  <c r="AN48" i="11"/>
  <c r="AO48" i="19" s="1"/>
  <c r="AP48" s="1"/>
  <c r="AH34" i="14"/>
  <c r="AH36" s="1"/>
  <c r="M77" i="11"/>
  <c r="M58" s="1"/>
  <c r="D45" i="5"/>
  <c r="Y73" i="11"/>
  <c r="Y77" s="1"/>
  <c r="Y58" s="1"/>
  <c r="Y57" s="1"/>
  <c r="G49" i="6"/>
  <c r="I50" i="20" s="1"/>
  <c r="J50" s="1"/>
  <c r="P17" i="5"/>
  <c r="K19"/>
  <c r="I53" i="3"/>
  <c r="E54"/>
  <c r="I54" s="1"/>
  <c r="C13" i="9"/>
  <c r="E13" s="1"/>
  <c r="P20" i="5"/>
  <c r="K22"/>
  <c r="I23" i="17"/>
  <c r="J23" s="1"/>
  <c r="G15" i="5"/>
  <c r="J15" s="1"/>
  <c r="P15" s="1"/>
  <c r="AN31" i="11"/>
  <c r="AC30"/>
  <c r="AN91"/>
  <c r="L91" i="2"/>
  <c r="M87"/>
  <c r="M91" s="1"/>
  <c r="AI19" s="1"/>
  <c r="AI21" s="1"/>
  <c r="H95"/>
  <c r="Q51" s="1"/>
  <c r="Q53" s="1"/>
  <c r="I87"/>
  <c r="I91" s="1"/>
  <c r="AI13" s="1"/>
  <c r="AI15" s="1"/>
  <c r="H91"/>
  <c r="AN26" i="11"/>
  <c r="AO27" i="19"/>
  <c r="K6" i="18"/>
  <c r="J8"/>
  <c r="F78" i="2"/>
  <c r="K48"/>
  <c r="K17" i="15"/>
  <c r="G19"/>
  <c r="P34" i="17"/>
  <c r="O33"/>
  <c r="P33" s="1"/>
  <c r="AD37" i="2"/>
  <c r="AD39" s="1"/>
  <c r="AE39"/>
  <c r="AF39" s="1"/>
  <c r="D84" i="4"/>
  <c r="F84" s="1"/>
  <c r="AC33" i="25"/>
  <c r="C5" i="21"/>
  <c r="C76"/>
  <c r="Q24" i="18"/>
  <c r="P26"/>
  <c r="Q26" s="1"/>
  <c r="B67" i="2"/>
  <c r="B70" s="1"/>
  <c r="B72" s="1"/>
  <c r="AE33"/>
  <c r="AF33" s="1"/>
  <c r="AC76" i="11"/>
  <c r="H42" i="15"/>
  <c r="J42" s="1"/>
  <c r="AC46" i="11"/>
  <c r="I42"/>
  <c r="I54" s="1"/>
  <c r="I116" s="1"/>
  <c r="I57" s="1"/>
  <c r="K87" i="2"/>
  <c r="K91" s="1"/>
  <c r="AI16" s="1"/>
  <c r="AI18" s="1"/>
  <c r="J91"/>
  <c r="J95"/>
  <c r="Q54" s="1"/>
  <c r="M30" i="26"/>
  <c r="C50" i="5"/>
  <c r="P62" i="14"/>
  <c r="J89"/>
  <c r="H64"/>
  <c r="Q62"/>
  <c r="R56" i="11"/>
  <c r="R116"/>
  <c r="U116" s="1"/>
  <c r="U57" s="1"/>
  <c r="D10" i="4"/>
  <c r="F10" s="1"/>
  <c r="E40" i="9"/>
  <c r="C44" i="5"/>
  <c r="J44" s="1"/>
  <c r="P44" s="1"/>
  <c r="J43"/>
  <c r="P43" s="1"/>
  <c r="O87" i="2"/>
  <c r="N91"/>
  <c r="M26" i="26"/>
  <c r="L21" i="24"/>
  <c r="C46" i="5"/>
  <c r="N88" i="14"/>
  <c r="O88" s="1"/>
  <c r="Q88" s="1"/>
  <c r="G74"/>
  <c r="G76" s="1"/>
  <c r="G73"/>
  <c r="F57" i="8"/>
  <c r="R27" i="5"/>
  <c r="Q27" i="21"/>
  <c r="R27" s="1"/>
  <c r="R14" i="5"/>
  <c r="D49" i="4"/>
  <c r="F49" s="1"/>
  <c r="Q14" i="21"/>
  <c r="R14" s="1"/>
  <c r="D110" i="4"/>
  <c r="F110" s="1"/>
  <c r="Y36" i="14"/>
  <c r="Q24" i="21"/>
  <c r="R24" s="1"/>
  <c r="R24" i="5"/>
  <c r="C40" i="16"/>
  <c r="AC63" i="11"/>
  <c r="AG68"/>
  <c r="AE58"/>
  <c r="AE57" s="1"/>
  <c r="E47" i="8"/>
  <c r="M73"/>
  <c r="P19" i="21"/>
  <c r="Y11" i="11"/>
  <c r="Y5"/>
  <c r="Y41" s="1"/>
  <c r="Y54" s="1"/>
  <c r="Y56" s="1"/>
  <c r="AC8"/>
  <c r="AN6"/>
  <c r="B53" i="2"/>
  <c r="F51"/>
  <c r="D86" i="14"/>
  <c r="E52"/>
  <c r="K50"/>
  <c r="AK14" i="11"/>
  <c r="AK5"/>
  <c r="AK41" s="1"/>
  <c r="D5" i="21"/>
  <c r="D76"/>
  <c r="G91" i="2"/>
  <c r="AI10" s="1"/>
  <c r="AI12" s="1"/>
  <c r="U87"/>
  <c r="U91" s="1"/>
  <c r="H77" i="14"/>
  <c r="Y89"/>
  <c r="Y92" s="1"/>
  <c r="X92"/>
  <c r="M9" i="15" s="1"/>
  <c r="AA89" i="14"/>
  <c r="D56"/>
  <c r="E56" s="1"/>
  <c r="B58"/>
  <c r="Q48" i="21"/>
  <c r="R48" s="1"/>
  <c r="R48" i="5"/>
  <c r="P31" i="21"/>
  <c r="E87" i="2"/>
  <c r="V87"/>
  <c r="D91"/>
  <c r="AB34" i="14"/>
  <c r="AB36" s="1"/>
  <c r="AB9"/>
  <c r="AC73" i="11"/>
  <c r="C42" i="15"/>
  <c r="G42" s="1"/>
  <c r="N7" i="17"/>
  <c r="N9" s="1"/>
  <c r="K9"/>
  <c r="I33" i="20"/>
  <c r="J33" s="1"/>
  <c r="J34"/>
  <c r="N4" i="17"/>
  <c r="N6" s="1"/>
  <c r="K6"/>
  <c r="F17" i="8"/>
  <c r="M23"/>
  <c r="P91" i="2"/>
  <c r="Q87"/>
  <c r="Q91" s="1"/>
  <c r="AI31" s="1"/>
  <c r="AI33" s="1"/>
  <c r="N25" i="21"/>
  <c r="P23"/>
  <c r="N7"/>
  <c r="N60" s="1"/>
  <c r="N70" s="1"/>
  <c r="N73" s="1"/>
  <c r="I25" i="5"/>
  <c r="J25" s="1"/>
  <c r="J23"/>
  <c r="P23" s="1"/>
  <c r="AN49" i="11"/>
  <c r="AO49" i="19" s="1"/>
  <c r="AP49" s="1"/>
  <c r="N54" i="11"/>
  <c r="V57"/>
  <c r="AC82"/>
  <c r="Q90"/>
  <c r="Y37" i="2"/>
  <c r="Y39" s="1"/>
  <c r="AC45" i="11"/>
  <c r="AN45" s="1"/>
  <c r="AO45" i="19" s="1"/>
  <c r="AP45" s="1"/>
  <c r="AC9" i="11"/>
  <c r="B57"/>
  <c r="W73"/>
  <c r="W77" s="1"/>
  <c r="W58" s="1"/>
  <c r="W57" s="1"/>
  <c r="M46" i="8"/>
  <c r="Q38" i="21"/>
  <c r="R38" i="5"/>
  <c r="N67"/>
  <c r="K70" s="1"/>
  <c r="C68"/>
  <c r="F75" i="8"/>
  <c r="M75" s="1"/>
  <c r="E74" i="14" l="1"/>
  <c r="E76" s="1"/>
  <c r="O91" i="2"/>
  <c r="AI22" s="1"/>
  <c r="AI24" s="1"/>
  <c r="Q41" i="21"/>
  <c r="R41" s="1"/>
  <c r="R57" i="11"/>
  <c r="K42" i="15"/>
  <c r="L52" i="18" s="1"/>
  <c r="M52" s="1"/>
  <c r="AC77" i="11"/>
  <c r="H73" i="14"/>
  <c r="N89"/>
  <c r="O89" s="1"/>
  <c r="E7" i="24"/>
  <c r="E31" s="1"/>
  <c r="E52" s="1"/>
  <c r="E10"/>
  <c r="C10"/>
  <c r="C7"/>
  <c r="C31" s="1"/>
  <c r="H7"/>
  <c r="H31" s="1"/>
  <c r="H52" s="1"/>
  <c r="H10"/>
  <c r="L67" i="5"/>
  <c r="K68" s="1"/>
  <c r="E75" i="8"/>
  <c r="E90" s="1"/>
  <c r="L40" i="24"/>
  <c r="AN9" i="11"/>
  <c r="AC11"/>
  <c r="P25" i="21"/>
  <c r="W87" i="2"/>
  <c r="E91"/>
  <c r="AI7" s="1"/>
  <c r="D58" i="14"/>
  <c r="K56"/>
  <c r="K58" s="1"/>
  <c r="D74"/>
  <c r="D76" s="1"/>
  <c r="F85"/>
  <c r="E9" i="5"/>
  <c r="D44" i="4" s="1"/>
  <c r="F44" s="1"/>
  <c r="P13" i="18"/>
  <c r="K77" i="14"/>
  <c r="K79" s="1"/>
  <c r="H79"/>
  <c r="AO6" i="19"/>
  <c r="AN8" i="11"/>
  <c r="C53" i="16"/>
  <c r="G53" s="1"/>
  <c r="C42"/>
  <c r="C44" s="1"/>
  <c r="C46" s="1"/>
  <c r="C48" s="1"/>
  <c r="G40"/>
  <c r="M57" i="8"/>
  <c r="F54"/>
  <c r="M54" s="1"/>
  <c r="Q43" i="21"/>
  <c r="R43" s="1"/>
  <c r="D60" i="4"/>
  <c r="F60" s="1"/>
  <c r="R43" i="5"/>
  <c r="R62" i="14"/>
  <c r="R64" s="1"/>
  <c r="P64"/>
  <c r="N30" i="26"/>
  <c r="M29"/>
  <c r="N29" s="1"/>
  <c r="K19" i="15"/>
  <c r="L24" i="18"/>
  <c r="D26" i="5"/>
  <c r="G78" i="2"/>
  <c r="F85"/>
  <c r="F93" s="1"/>
  <c r="F95"/>
  <c r="Q48" s="1"/>
  <c r="Q50" s="1"/>
  <c r="K8" i="18"/>
  <c r="D108" i="4"/>
  <c r="F108" s="1"/>
  <c r="Q20" i="21"/>
  <c r="R20" i="5"/>
  <c r="R22" s="1"/>
  <c r="P22"/>
  <c r="V110" i="2"/>
  <c r="T114"/>
  <c r="U110"/>
  <c r="AN43" i="11"/>
  <c r="O29" i="17"/>
  <c r="P29" s="1"/>
  <c r="P30"/>
  <c r="Q74" i="14"/>
  <c r="S53"/>
  <c r="S55" s="1"/>
  <c r="Q55"/>
  <c r="L79" i="2"/>
  <c r="E70"/>
  <c r="E72" s="1"/>
  <c r="K57"/>
  <c r="Y88"/>
  <c r="N80"/>
  <c r="O80" s="1"/>
  <c r="F62"/>
  <c r="T108"/>
  <c r="T116" s="1"/>
  <c r="U105"/>
  <c r="U108" s="1"/>
  <c r="T118"/>
  <c r="P118"/>
  <c r="Q118" s="1"/>
  <c r="K45"/>
  <c r="D78"/>
  <c r="D70"/>
  <c r="D72" s="1"/>
  <c r="P79"/>
  <c r="K63"/>
  <c r="D61" i="14"/>
  <c r="H85"/>
  <c r="K59"/>
  <c r="K61" s="1"/>
  <c r="P7" i="21"/>
  <c r="C14" i="9"/>
  <c r="N69" i="5"/>
  <c r="N72" s="1"/>
  <c r="P70" s="1"/>
  <c r="Q71" i="21" s="1"/>
  <c r="E67" i="5"/>
  <c r="N116" i="11"/>
  <c r="N56"/>
  <c r="P25" i="5"/>
  <c r="Q23" i="21"/>
  <c r="Q25" s="1"/>
  <c r="R23" i="5"/>
  <c r="R25" s="1"/>
  <c r="P71" i="21"/>
  <c r="N81"/>
  <c r="M17" i="8"/>
  <c r="F28"/>
  <c r="M28" s="1"/>
  <c r="Y87" i="2"/>
  <c r="V91"/>
  <c r="Y91" s="1"/>
  <c r="E58" i="14"/>
  <c r="F86"/>
  <c r="G86" s="1"/>
  <c r="Y98"/>
  <c r="Q77" s="1"/>
  <c r="M8" i="15"/>
  <c r="K52" i="14"/>
  <c r="D92"/>
  <c r="E86"/>
  <c r="K51" i="2"/>
  <c r="H80"/>
  <c r="F47" i="8"/>
  <c r="C45" i="5"/>
  <c r="J46"/>
  <c r="M25" i="26"/>
  <c r="N25" s="1"/>
  <c r="N26"/>
  <c r="R44" i="5"/>
  <c r="Q44" i="21"/>
  <c r="R44" s="1"/>
  <c r="D61" i="4"/>
  <c r="F61" s="1"/>
  <c r="Q64" i="14"/>
  <c r="S62"/>
  <c r="S64" s="1"/>
  <c r="K89"/>
  <c r="J92"/>
  <c r="H9" i="15" s="1"/>
  <c r="C49" i="5"/>
  <c r="J49" s="1"/>
  <c r="J50"/>
  <c r="P50" s="1"/>
  <c r="S54" i="2"/>
  <c r="S56" s="1"/>
  <c r="Q56"/>
  <c r="F67"/>
  <c r="F70" s="1"/>
  <c r="B69"/>
  <c r="K50"/>
  <c r="AF10"/>
  <c r="AP27" i="19"/>
  <c r="AO26"/>
  <c r="AP26" s="1"/>
  <c r="AO91"/>
  <c r="AO31"/>
  <c r="AN30" i="11"/>
  <c r="R15" i="5"/>
  <c r="Q15" i="21"/>
  <c r="R15" s="1"/>
  <c r="L22" i="17"/>
  <c r="M22" s="1"/>
  <c r="K15" i="16"/>
  <c r="L15" s="1"/>
  <c r="O22" i="17" s="1"/>
  <c r="P22" s="1"/>
  <c r="P19" i="5"/>
  <c r="Q17" i="21"/>
  <c r="R17" i="5"/>
  <c r="R19" s="1"/>
  <c r="V111" i="2"/>
  <c r="U111"/>
  <c r="AO102" i="19"/>
  <c r="AP102" s="1"/>
  <c r="AP99"/>
  <c r="R53" i="14"/>
  <c r="R55" s="1"/>
  <c r="P55"/>
  <c r="P74"/>
  <c r="E62" i="2"/>
  <c r="K60"/>
  <c r="N79"/>
  <c r="R95"/>
  <c r="R85"/>
  <c r="R93" s="1"/>
  <c r="S79"/>
  <c r="AC14" i="11"/>
  <c r="AN12"/>
  <c r="V112" i="2"/>
  <c r="U112"/>
  <c r="M39" i="18"/>
  <c r="L38"/>
  <c r="M38" s="1"/>
  <c r="AO15" i="19"/>
  <c r="AN17" i="11"/>
  <c r="O78" i="5"/>
  <c r="O80" s="1"/>
  <c r="I76"/>
  <c r="J76" s="1"/>
  <c r="O87" i="14"/>
  <c r="O92" s="1"/>
  <c r="I8" i="15" s="1"/>
  <c r="N92" i="14"/>
  <c r="I9" i="15" s="1"/>
  <c r="M87" i="14"/>
  <c r="AI44"/>
  <c r="AG44" s="1"/>
  <c r="L92"/>
  <c r="F9" i="15" s="1"/>
  <c r="K62" i="14"/>
  <c r="K64" s="1"/>
  <c r="D64"/>
  <c r="K54" i="2"/>
  <c r="J80"/>
  <c r="E61" i="14"/>
  <c r="H86"/>
  <c r="I86" s="1"/>
  <c r="F49" i="8"/>
  <c r="M49" s="1"/>
  <c r="F90"/>
  <c r="M90" s="1"/>
  <c r="W90" i="2"/>
  <c r="R38" i="21"/>
  <c r="L29" i="5"/>
  <c r="F48" i="8"/>
  <c r="M48" s="1"/>
  <c r="K9" i="24"/>
  <c r="E55" i="8"/>
  <c r="E54" s="1"/>
  <c r="R25" i="21" l="1"/>
  <c r="G9" i="24"/>
  <c r="L9" s="1"/>
  <c r="I10"/>
  <c r="I7"/>
  <c r="I31" s="1"/>
  <c r="I52" s="1"/>
  <c r="L31" i="5"/>
  <c r="L7"/>
  <c r="L60" s="1"/>
  <c r="L69" s="1"/>
  <c r="L72" s="1"/>
  <c r="D49" i="3"/>
  <c r="H49" s="1"/>
  <c r="H112"/>
  <c r="D67" i="4"/>
  <c r="D72"/>
  <c r="F72" s="1"/>
  <c r="K80" i="2"/>
  <c r="K85" s="1"/>
  <c r="K93" s="1"/>
  <c r="J85"/>
  <c r="J93" s="1"/>
  <c r="M92" i="14"/>
  <c r="F8" i="15" s="1"/>
  <c r="F7" s="1"/>
  <c r="F34" s="1"/>
  <c r="Q87" i="14"/>
  <c r="I10" i="15"/>
  <c r="I7"/>
  <c r="I34" s="1"/>
  <c r="AO17" i="19"/>
  <c r="AP17" s="1"/>
  <c r="AP15"/>
  <c r="C112" i="2"/>
  <c r="Y112"/>
  <c r="O79"/>
  <c r="O85" s="1"/>
  <c r="O93" s="1"/>
  <c r="N85"/>
  <c r="N93" s="1"/>
  <c r="N95"/>
  <c r="Q60" s="1"/>
  <c r="Q19" i="21"/>
  <c r="R19" s="1"/>
  <c r="R17"/>
  <c r="R50" i="5"/>
  <c r="R49" s="1"/>
  <c r="Q50" i="21"/>
  <c r="P49" i="5"/>
  <c r="M47" i="8"/>
  <c r="F31"/>
  <c r="E92" i="14"/>
  <c r="C8" i="15" s="1"/>
  <c r="Q86" i="14"/>
  <c r="P12" i="18"/>
  <c r="E8" i="5"/>
  <c r="M10" i="15"/>
  <c r="M7"/>
  <c r="M34" s="1"/>
  <c r="K64" i="5"/>
  <c r="E58" i="4"/>
  <c r="E57" s="1"/>
  <c r="P60" i="21"/>
  <c r="P85" i="2"/>
  <c r="P93" s="1"/>
  <c r="P95"/>
  <c r="Q67" s="1"/>
  <c r="Q79"/>
  <c r="Q85" s="1"/>
  <c r="Q93" s="1"/>
  <c r="E78"/>
  <c r="D95"/>
  <c r="Q45" s="1"/>
  <c r="V78"/>
  <c r="D85"/>
  <c r="D93" s="1"/>
  <c r="S74" i="14"/>
  <c r="S76" s="1"/>
  <c r="Q76"/>
  <c r="AO43" i="19"/>
  <c r="Q22" i="21"/>
  <c r="R22" s="1"/>
  <c r="R20"/>
  <c r="J26" i="5"/>
  <c r="D28"/>
  <c r="AP6" i="19"/>
  <c r="AO8"/>
  <c r="AP8" s="1"/>
  <c r="W91" i="2"/>
  <c r="AO9" i="19"/>
  <c r="AN11" i="11"/>
  <c r="M44" i="26"/>
  <c r="N44" s="1"/>
  <c r="J9" i="15"/>
  <c r="K74" i="14"/>
  <c r="K76" s="1"/>
  <c r="R71" i="21"/>
  <c r="L63" i="5"/>
  <c r="L78" s="1"/>
  <c r="AB50" i="11"/>
  <c r="Z90"/>
  <c r="Z68" s="1"/>
  <c r="AC108"/>
  <c r="E6" i="8"/>
  <c r="F6" s="1"/>
  <c r="M6" s="1"/>
  <c r="E113" i="3"/>
  <c r="I112"/>
  <c r="AF16" i="2"/>
  <c r="K56"/>
  <c r="AI45" i="14"/>
  <c r="AN14" i="11"/>
  <c r="AO12" i="19"/>
  <c r="AF22" i="2"/>
  <c r="K62"/>
  <c r="P76" i="14"/>
  <c r="R74"/>
  <c r="R76" s="1"/>
  <c r="C111" i="2"/>
  <c r="Y111"/>
  <c r="AO30" i="19"/>
  <c r="AP30" s="1"/>
  <c r="AP31"/>
  <c r="AP91"/>
  <c r="K67" i="2"/>
  <c r="T80"/>
  <c r="V80" s="1"/>
  <c r="Y80" s="1"/>
  <c r="F69"/>
  <c r="K92" i="14"/>
  <c r="H8" i="15" s="1"/>
  <c r="Q89" i="14"/>
  <c r="P46" i="5"/>
  <c r="J45"/>
  <c r="P45" s="1"/>
  <c r="D62" i="4" s="1"/>
  <c r="F62" s="1"/>
  <c r="I80" i="2"/>
  <c r="H85"/>
  <c r="H93" s="1"/>
  <c r="K53"/>
  <c r="AF13"/>
  <c r="C9" i="15"/>
  <c r="D98" i="14"/>
  <c r="S77"/>
  <c r="S79" s="1"/>
  <c r="Q79"/>
  <c r="Q116" i="11"/>
  <c r="Q57" s="1"/>
  <c r="N57"/>
  <c r="D5" i="4"/>
  <c r="F5" s="1"/>
  <c r="E14" i="9"/>
  <c r="H92" i="14"/>
  <c r="E9" i="15" s="1"/>
  <c r="I85" i="14"/>
  <c r="I92" s="1"/>
  <c r="E8" i="15" s="1"/>
  <c r="K65" i="2"/>
  <c r="AF25"/>
  <c r="K47"/>
  <c r="AF7"/>
  <c r="K70"/>
  <c r="J72" s="1"/>
  <c r="AF19"/>
  <c r="K59"/>
  <c r="L85"/>
  <c r="L93" s="1"/>
  <c r="L95"/>
  <c r="Q57" s="1"/>
  <c r="M79"/>
  <c r="V79"/>
  <c r="Y79" s="1"/>
  <c r="C110"/>
  <c r="V114"/>
  <c r="Y110"/>
  <c r="U78"/>
  <c r="S78"/>
  <c r="S85" s="1"/>
  <c r="S93" s="1"/>
  <c r="S95" s="1"/>
  <c r="G85"/>
  <c r="G93" s="1"/>
  <c r="M24" i="18"/>
  <c r="L26"/>
  <c r="M26" s="1"/>
  <c r="G42" i="16"/>
  <c r="G44" s="1"/>
  <c r="G46" s="1"/>
  <c r="L40"/>
  <c r="O47" i="17" s="1"/>
  <c r="P47" s="1"/>
  <c r="Q13" i="18"/>
  <c r="G85" i="14"/>
  <c r="F92"/>
  <c r="D9" i="15" s="1"/>
  <c r="P85" i="14"/>
  <c r="AI9" i="2"/>
  <c r="AI37"/>
  <c r="AI39" s="1"/>
  <c r="L23" i="17"/>
  <c r="M23" s="1"/>
  <c r="K16" i="16"/>
  <c r="L16" s="1"/>
  <c r="O23" i="17" s="1"/>
  <c r="P23" s="1"/>
  <c r="C52" i="24"/>
  <c r="G47" i="8"/>
  <c r="U114" i="2"/>
  <c r="U116" s="1"/>
  <c r="U118" s="1"/>
  <c r="R23" i="21"/>
  <c r="D68" i="5"/>
  <c r="K29"/>
  <c r="G21" i="6"/>
  <c r="I22" i="20" s="1"/>
  <c r="J22" s="1"/>
  <c r="E51" i="8"/>
  <c r="E50" s="1"/>
  <c r="J10" i="24" l="1"/>
  <c r="J7"/>
  <c r="J31" s="1"/>
  <c r="D67" i="5"/>
  <c r="I17" i="17"/>
  <c r="J17" s="1"/>
  <c r="G9" i="5"/>
  <c r="G95" i="2"/>
  <c r="R48"/>
  <c r="C114"/>
  <c r="V116"/>
  <c r="Y114"/>
  <c r="Y116" s="1"/>
  <c r="V118" s="1"/>
  <c r="W118" s="1"/>
  <c r="Q59"/>
  <c r="S57"/>
  <c r="S59" s="1"/>
  <c r="K69"/>
  <c r="AF31"/>
  <c r="E50" i="3"/>
  <c r="I50" s="1"/>
  <c r="I113"/>
  <c r="Z119" i="11"/>
  <c r="Z58"/>
  <c r="Z57" s="1"/>
  <c r="AC68"/>
  <c r="AC58" s="1"/>
  <c r="AO11" i="19"/>
  <c r="AP11" s="1"/>
  <c r="AP9"/>
  <c r="Q70" i="2"/>
  <c r="S70" s="1"/>
  <c r="R72" s="1"/>
  <c r="Q47"/>
  <c r="Q12" i="18"/>
  <c r="P14"/>
  <c r="Q14" s="1"/>
  <c r="P11"/>
  <c r="C10" i="15"/>
  <c r="C7"/>
  <c r="C34" s="1"/>
  <c r="Q49" i="21"/>
  <c r="R50"/>
  <c r="Q62" i="2"/>
  <c r="S60"/>
  <c r="S62" s="1"/>
  <c r="O95"/>
  <c r="R60"/>
  <c r="F55" i="15"/>
  <c r="F44"/>
  <c r="R54" i="2"/>
  <c r="K95"/>
  <c r="G9" i="15"/>
  <c r="K9" s="1"/>
  <c r="Q95" i="2"/>
  <c r="F10" i="24"/>
  <c r="F7"/>
  <c r="F31" s="1"/>
  <c r="F52" s="1"/>
  <c r="E62" i="3"/>
  <c r="E11" i="8"/>
  <c r="F11" s="1"/>
  <c r="M11" s="1"/>
  <c r="I125" i="3"/>
  <c r="P29" i="5"/>
  <c r="K31"/>
  <c r="K7"/>
  <c r="K60" s="1"/>
  <c r="D10" i="24"/>
  <c r="D7"/>
  <c r="D31" s="1"/>
  <c r="D52" s="1"/>
  <c r="G52" s="1"/>
  <c r="G8"/>
  <c r="P92" i="14"/>
  <c r="S85"/>
  <c r="G92"/>
  <c r="D8" i="15" s="1"/>
  <c r="G8" s="1"/>
  <c r="Q85" i="14"/>
  <c r="Q92" s="1"/>
  <c r="G48" i="16"/>
  <c r="G47"/>
  <c r="W79" i="2"/>
  <c r="M85"/>
  <c r="M93" s="1"/>
  <c r="E10" i="15"/>
  <c r="E7"/>
  <c r="E34" s="1"/>
  <c r="W80" i="2"/>
  <c r="I85"/>
  <c r="I93" s="1"/>
  <c r="Q46" i="21"/>
  <c r="R46" i="5"/>
  <c r="R45" s="1"/>
  <c r="J8" i="15"/>
  <c r="H10"/>
  <c r="H7"/>
  <c r="H34" s="1"/>
  <c r="U80" i="2"/>
  <c r="U85" s="1"/>
  <c r="U93" s="1"/>
  <c r="T85"/>
  <c r="T93" s="1"/>
  <c r="T95"/>
  <c r="AO14" i="19"/>
  <c r="AP14" s="1"/>
  <c r="AP12"/>
  <c r="AF44" i="14"/>
  <c r="AF45" s="1"/>
  <c r="AG45"/>
  <c r="AH45" s="1"/>
  <c r="AN108" i="11"/>
  <c r="AC90"/>
  <c r="AC50"/>
  <c r="AB42"/>
  <c r="AB54" s="1"/>
  <c r="C9" i="5"/>
  <c r="M13" i="26"/>
  <c r="J28" i="5"/>
  <c r="P26"/>
  <c r="AP43" i="19"/>
  <c r="Y78" i="2"/>
  <c r="Y93" s="1"/>
  <c r="V95" s="1"/>
  <c r="V85"/>
  <c r="V93" s="1"/>
  <c r="E85"/>
  <c r="E93" s="1"/>
  <c r="W78"/>
  <c r="W85" s="1"/>
  <c r="Q69"/>
  <c r="S67"/>
  <c r="S69" s="1"/>
  <c r="M44" i="15"/>
  <c r="M55"/>
  <c r="E10" i="5"/>
  <c r="D43" i="4"/>
  <c r="E7" i="5"/>
  <c r="E60" s="1"/>
  <c r="M31" i="8"/>
  <c r="D63" i="4"/>
  <c r="F63" s="1"/>
  <c r="I55" i="15"/>
  <c r="I44"/>
  <c r="D68" i="4"/>
  <c r="F68" s="1"/>
  <c r="F67"/>
  <c r="L80" i="5"/>
  <c r="P68"/>
  <c r="Q69" i="21" s="1"/>
  <c r="R69" s="1"/>
  <c r="L83" i="5"/>
  <c r="K8" i="24"/>
  <c r="AF37" i="2"/>
  <c r="D73" i="4"/>
  <c r="F51" i="8"/>
  <c r="J39" i="24"/>
  <c r="K39" s="1"/>
  <c r="L39" s="1"/>
  <c r="I62" i="3" l="1"/>
  <c r="R67" i="2"/>
  <c r="U95"/>
  <c r="G10" i="15"/>
  <c r="K8"/>
  <c r="G7"/>
  <c r="G34" s="1"/>
  <c r="G44" s="1"/>
  <c r="I16" i="17"/>
  <c r="G8" i="5"/>
  <c r="H11" i="16"/>
  <c r="H8"/>
  <c r="H32" s="1"/>
  <c r="M43" i="26"/>
  <c r="N43" s="1"/>
  <c r="C67" i="5"/>
  <c r="I49" i="3"/>
  <c r="I34" i="5"/>
  <c r="J34" s="1"/>
  <c r="P34" s="1"/>
  <c r="D74" i="4"/>
  <c r="F74" s="1"/>
  <c r="F73"/>
  <c r="K7" i="24"/>
  <c r="K31" s="1"/>
  <c r="K10"/>
  <c r="F43" i="4"/>
  <c r="D45"/>
  <c r="F45" s="1"/>
  <c r="C85" i="2"/>
  <c r="W93"/>
  <c r="W95" s="1"/>
  <c r="R26" i="5"/>
  <c r="R28" s="1"/>
  <c r="Q26" i="21"/>
  <c r="P28" i="5"/>
  <c r="N13" i="26"/>
  <c r="I95" i="2"/>
  <c r="R51"/>
  <c r="E44" i="15"/>
  <c r="E55"/>
  <c r="M95" i="2"/>
  <c r="R57"/>
  <c r="G10" i="24"/>
  <c r="G7"/>
  <c r="G31" s="1"/>
  <c r="L8"/>
  <c r="D9" i="5"/>
  <c r="D41" i="4" s="1"/>
  <c r="F41" s="1"/>
  <c r="L13" i="18"/>
  <c r="R62" i="2"/>
  <c r="T60"/>
  <c r="T62" s="1"/>
  <c r="C55" i="15"/>
  <c r="C44"/>
  <c r="K63" i="5"/>
  <c r="J52" i="24"/>
  <c r="K52" s="1"/>
  <c r="L52" s="1"/>
  <c r="G20" i="6"/>
  <c r="B22"/>
  <c r="B6"/>
  <c r="M51" i="8"/>
  <c r="F50"/>
  <c r="F64" s="1"/>
  <c r="E69" i="5"/>
  <c r="E83"/>
  <c r="E95" i="2"/>
  <c r="R45"/>
  <c r="D38" i="4"/>
  <c r="AN50" i="11"/>
  <c r="AO50" i="19" s="1"/>
  <c r="AP50" s="1"/>
  <c r="AC42" i="11"/>
  <c r="AO108" i="19"/>
  <c r="AN90" i="11"/>
  <c r="H55" i="15"/>
  <c r="J55" s="1"/>
  <c r="H44"/>
  <c r="J10"/>
  <c r="J7"/>
  <c r="J34" s="1"/>
  <c r="J44" s="1"/>
  <c r="Q45" i="21"/>
  <c r="R45" s="1"/>
  <c r="R46"/>
  <c r="D10" i="15"/>
  <c r="D7"/>
  <c r="D34" s="1"/>
  <c r="R29" i="5"/>
  <c r="R31" s="1"/>
  <c r="Q29" i="21"/>
  <c r="P31" i="5"/>
  <c r="T54" i="2"/>
  <c r="T56" s="1"/>
  <c r="R56"/>
  <c r="R49" i="21"/>
  <c r="P44" i="18"/>
  <c r="Q11"/>
  <c r="R50" i="2"/>
  <c r="T48"/>
  <c r="T50" s="1"/>
  <c r="I33" i="5"/>
  <c r="K77"/>
  <c r="E40" i="24" l="1"/>
  <c r="E41" s="1"/>
  <c r="C40"/>
  <c r="H40"/>
  <c r="H41" s="1"/>
  <c r="J40"/>
  <c r="J41" s="1"/>
  <c r="I40"/>
  <c r="I41" s="1"/>
  <c r="K40"/>
  <c r="K41" s="1"/>
  <c r="D40"/>
  <c r="D41" s="1"/>
  <c r="F40"/>
  <c r="F41" s="1"/>
  <c r="L16" i="17"/>
  <c r="F8" i="5"/>
  <c r="J11" i="16"/>
  <c r="J8"/>
  <c r="J32" s="1"/>
  <c r="I67" i="5"/>
  <c r="K65" s="1"/>
  <c r="K67"/>
  <c r="K69" s="1"/>
  <c r="K72" s="1"/>
  <c r="P67" s="1"/>
  <c r="Q68" i="21" s="1"/>
  <c r="R68" s="1"/>
  <c r="Q44" i="18"/>
  <c r="P54"/>
  <c r="Q54" s="1"/>
  <c r="Q31" i="21"/>
  <c r="R31" s="1"/>
  <c r="R29"/>
  <c r="D55" i="15"/>
  <c r="D44"/>
  <c r="F38" i="4"/>
  <c r="R47" i="2"/>
  <c r="R70"/>
  <c r="T45"/>
  <c r="T47" s="1"/>
  <c r="F91" i="8"/>
  <c r="M91" s="1"/>
  <c r="M64"/>
  <c r="L17" i="17"/>
  <c r="M17" s="1"/>
  <c r="F9" i="5"/>
  <c r="K10" i="16"/>
  <c r="L10" s="1"/>
  <c r="O17" i="17" s="1"/>
  <c r="B39" i="6"/>
  <c r="G6"/>
  <c r="G22"/>
  <c r="I21" i="20"/>
  <c r="M13" i="18"/>
  <c r="L10" i="24"/>
  <c r="C8" i="5"/>
  <c r="M12" i="26"/>
  <c r="L7" i="24"/>
  <c r="L31" s="1"/>
  <c r="L41" s="1"/>
  <c r="R26" i="21"/>
  <c r="Q28"/>
  <c r="R28" s="1"/>
  <c r="R34" i="5"/>
  <c r="Q34" i="21"/>
  <c r="R34" s="1"/>
  <c r="D52" i="4"/>
  <c r="F52" s="1"/>
  <c r="K62" i="5"/>
  <c r="J67"/>
  <c r="H53" i="16"/>
  <c r="J16" i="17"/>
  <c r="I15"/>
  <c r="I18"/>
  <c r="J18" s="1"/>
  <c r="R69" i="2"/>
  <c r="T67"/>
  <c r="T69" s="1"/>
  <c r="J33" i="5"/>
  <c r="I35"/>
  <c r="I7"/>
  <c r="I60" s="1"/>
  <c r="I69" s="1"/>
  <c r="AP108" i="19"/>
  <c r="AO90"/>
  <c r="AP90" s="1"/>
  <c r="R59" i="2"/>
  <c r="T57"/>
  <c r="T59" s="1"/>
  <c r="T51"/>
  <c r="T53" s="1"/>
  <c r="R53"/>
  <c r="G10" i="5"/>
  <c r="G7"/>
  <c r="G60" s="1"/>
  <c r="L12" i="18"/>
  <c r="D8" i="5"/>
  <c r="K10" i="15"/>
  <c r="K7"/>
  <c r="K34" s="1"/>
  <c r="K44" s="1"/>
  <c r="G55"/>
  <c r="K55" s="1"/>
  <c r="K9" i="16"/>
  <c r="L14" i="18" l="1"/>
  <c r="M14" s="1"/>
  <c r="M12"/>
  <c r="L11"/>
  <c r="M14" i="26"/>
  <c r="N14" s="1"/>
  <c r="M11"/>
  <c r="N12"/>
  <c r="G39" i="6"/>
  <c r="B64"/>
  <c r="G64" s="1"/>
  <c r="J9" i="5"/>
  <c r="P9" s="1"/>
  <c r="D47" i="4"/>
  <c r="L15" i="17"/>
  <c r="L18"/>
  <c r="M18" s="1"/>
  <c r="M16"/>
  <c r="L9" i="16"/>
  <c r="K11"/>
  <c r="K8"/>
  <c r="K32" s="1"/>
  <c r="D10" i="5"/>
  <c r="D40" i="4"/>
  <c r="D7" i="5"/>
  <c r="D60" s="1"/>
  <c r="G83"/>
  <c r="P33"/>
  <c r="J35"/>
  <c r="I39" i="17"/>
  <c r="J15"/>
  <c r="D37" i="4"/>
  <c r="C10" i="5"/>
  <c r="J8"/>
  <c r="C7"/>
  <c r="C60" s="1"/>
  <c r="I23" i="20"/>
  <c r="J23" s="1"/>
  <c r="J21"/>
  <c r="I6"/>
  <c r="P17" i="17"/>
  <c r="T70" i="2"/>
  <c r="S72" s="1"/>
  <c r="Q72"/>
  <c r="J42" i="16"/>
  <c r="J44" s="1"/>
  <c r="J46" s="1"/>
  <c r="J53"/>
  <c r="K53" s="1"/>
  <c r="L53" s="1"/>
  <c r="D46" i="4"/>
  <c r="F7" i="5"/>
  <c r="F60" s="1"/>
  <c r="F10"/>
  <c r="G40" i="24"/>
  <c r="G41" s="1"/>
  <c r="C41"/>
  <c r="K78" i="5"/>
  <c r="K80" s="1"/>
  <c r="F46" i="4" l="1"/>
  <c r="D48"/>
  <c r="F48" s="1"/>
  <c r="J48" i="16"/>
  <c r="J47"/>
  <c r="C69" i="5"/>
  <c r="C83"/>
  <c r="D69"/>
  <c r="D83"/>
  <c r="L39" i="17"/>
  <c r="L49" s="1"/>
  <c r="L51" s="1"/>
  <c r="M15"/>
  <c r="R9" i="5"/>
  <c r="Q9" i="21"/>
  <c r="R9" s="1"/>
  <c r="M35" i="26"/>
  <c r="N11"/>
  <c r="F83" i="5"/>
  <c r="J6" i="20"/>
  <c r="I40"/>
  <c r="J40" s="1"/>
  <c r="J10" i="5"/>
  <c r="P8"/>
  <c r="J7"/>
  <c r="J60" s="1"/>
  <c r="D33" i="4"/>
  <c r="F33" s="1"/>
  <c r="D54"/>
  <c r="D39"/>
  <c r="F39" s="1"/>
  <c r="F37"/>
  <c r="D34"/>
  <c r="J39" i="17"/>
  <c r="M39" s="1"/>
  <c r="D50" i="4"/>
  <c r="P35" i="5"/>
  <c r="Q33" i="21"/>
  <c r="R33" i="5"/>
  <c r="R35" s="1"/>
  <c r="F40" i="4"/>
  <c r="D42"/>
  <c r="F42" s="1"/>
  <c r="O16" i="17"/>
  <c r="L8" i="16"/>
  <c r="L32" s="1"/>
  <c r="L11"/>
  <c r="F47" i="4"/>
  <c r="D35"/>
  <c r="F35" s="1"/>
  <c r="M11" i="18"/>
  <c r="L44"/>
  <c r="I83" i="5"/>
  <c r="J83" s="1"/>
  <c r="I84" i="21"/>
  <c r="J84" s="1"/>
  <c r="F68" i="5"/>
  <c r="L54" i="18" l="1"/>
  <c r="M54" s="1"/>
  <c r="M44"/>
  <c r="P16" i="17"/>
  <c r="O18"/>
  <c r="P18" s="1"/>
  <c r="O15"/>
  <c r="Q35" i="21"/>
  <c r="R35" s="1"/>
  <c r="R33"/>
  <c r="D53" i="4"/>
  <c r="F53" s="1"/>
  <c r="F50"/>
  <c r="N35" i="26"/>
  <c r="M45"/>
  <c r="N45" s="1"/>
  <c r="M51" i="17"/>
  <c r="L53"/>
  <c r="F69" i="5"/>
  <c r="G68"/>
  <c r="G69" s="1"/>
  <c r="F34" i="4"/>
  <c r="D36"/>
  <c r="F36" s="1"/>
  <c r="P10" i="5"/>
  <c r="Q8" i="21"/>
  <c r="R8" i="5"/>
  <c r="P7"/>
  <c r="I70"/>
  <c r="C70"/>
  <c r="E70"/>
  <c r="H70"/>
  <c r="H72" s="1"/>
  <c r="G70"/>
  <c r="D70"/>
  <c r="F70"/>
  <c r="J69" l="1"/>
  <c r="G72"/>
  <c r="D58" i="4"/>
  <c r="P60" i="5"/>
  <c r="R8" i="21"/>
  <c r="Q10"/>
  <c r="R10" s="1"/>
  <c r="Q7"/>
  <c r="M53" i="17"/>
  <c r="L54"/>
  <c r="M54" s="1"/>
  <c r="L55"/>
  <c r="M55" s="1"/>
  <c r="O39"/>
  <c r="P15"/>
  <c r="R10" i="5"/>
  <c r="R7"/>
  <c r="R60" s="1"/>
  <c r="H41" i="16"/>
  <c r="AG80" i="11"/>
  <c r="AD58"/>
  <c r="AD57" s="1"/>
  <c r="J68" i="5"/>
  <c r="F72"/>
  <c r="N66"/>
  <c r="N64"/>
  <c r="E72"/>
  <c r="G53" i="6"/>
  <c r="N65" i="5"/>
  <c r="I72"/>
  <c r="P65" s="1"/>
  <c r="Q66" i="21" s="1"/>
  <c r="R66" s="1"/>
  <c r="D72" i="5"/>
  <c r="D74" s="1"/>
  <c r="N63"/>
  <c r="J70"/>
  <c r="C72"/>
  <c r="N62"/>
  <c r="AG58" i="11" l="1"/>
  <c r="AG57" s="1"/>
  <c r="I48" i="17"/>
  <c r="K41" i="16"/>
  <c r="H42"/>
  <c r="P39" i="17"/>
  <c r="R7" i="21"/>
  <c r="Q60"/>
  <c r="R60" s="1"/>
  <c r="F58" i="4"/>
  <c r="D57"/>
  <c r="F57" s="1"/>
  <c r="N78" i="5"/>
  <c r="N80" s="1"/>
  <c r="D75" i="4"/>
  <c r="F75" s="1"/>
  <c r="D75" i="5"/>
  <c r="P63"/>
  <c r="Q64" i="21" s="1"/>
  <c r="R64" s="1"/>
  <c r="D53" i="6"/>
  <c r="C53"/>
  <c r="I54" i="20"/>
  <c r="J54" s="1"/>
  <c r="E53" i="6"/>
  <c r="AN86" i="11" s="1"/>
  <c r="AO86" i="19" s="1"/>
  <c r="AP86" s="1"/>
  <c r="F74" i="5"/>
  <c r="F75" s="1"/>
  <c r="P66"/>
  <c r="Q67" i="21" s="1"/>
  <c r="R67" s="1"/>
  <c r="J72" i="5"/>
  <c r="J81" s="1"/>
  <c r="C74"/>
  <c r="C75" s="1"/>
  <c r="P62"/>
  <c r="Q63" i="21" s="1"/>
  <c r="R63" s="1"/>
  <c r="P64" i="5"/>
  <c r="Q65" i="21" s="1"/>
  <c r="R65" s="1"/>
  <c r="E74" i="5"/>
  <c r="E75" s="1"/>
  <c r="D76" i="4"/>
  <c r="E32" i="8"/>
  <c r="E31" s="1"/>
  <c r="E64" s="1"/>
  <c r="E91" s="1"/>
  <c r="F79" i="4" l="1"/>
  <c r="F76"/>
  <c r="J48" i="17"/>
  <c r="I49"/>
  <c r="J49" s="1"/>
  <c r="M49" s="1"/>
  <c r="L41" i="16"/>
  <c r="K42"/>
  <c r="AN84" i="11"/>
  <c r="B62" i="6"/>
  <c r="AN83" i="11"/>
  <c r="AO83" i="19" s="1"/>
  <c r="D66" i="6"/>
  <c r="AN85" i="11"/>
  <c r="AO85" i="19" s="1"/>
  <c r="AP85" s="1"/>
  <c r="D69" i="6"/>
  <c r="L42" i="24"/>
  <c r="AN79" i="11"/>
  <c r="AO79" i="19" s="1"/>
  <c r="AP79" s="1"/>
  <c r="AN81" i="11"/>
  <c r="AO81" i="19" s="1"/>
  <c r="AP81" s="1"/>
  <c r="M45" i="15"/>
  <c r="O48" i="17" l="1"/>
  <c r="L42" i="16"/>
  <c r="AN78" i="11"/>
  <c r="AO78" i="19" s="1"/>
  <c r="AP78" s="1"/>
  <c r="P55" i="18"/>
  <c r="M46" i="15"/>
  <c r="M48" s="1"/>
  <c r="H43" i="16"/>
  <c r="AN80" i="11"/>
  <c r="AO80" i="19" s="1"/>
  <c r="AP80" s="1"/>
  <c r="K42" i="24"/>
  <c r="K43" s="1"/>
  <c r="K45" s="1"/>
  <c r="D42"/>
  <c r="M46" i="26"/>
  <c r="I42" i="24"/>
  <c r="J42"/>
  <c r="C42"/>
  <c r="H42"/>
  <c r="L43"/>
  <c r="L45" s="1"/>
  <c r="F42"/>
  <c r="E42"/>
  <c r="AN87" i="11"/>
  <c r="AN82" s="1"/>
  <c r="AO84" i="19"/>
  <c r="D70" i="6"/>
  <c r="I108" i="3"/>
  <c r="E109"/>
  <c r="AP83" i="19"/>
  <c r="AK87" i="11"/>
  <c r="AK82" s="1"/>
  <c r="D55" i="3"/>
  <c r="P48" i="17" l="1"/>
  <c r="O49"/>
  <c r="P49" s="1"/>
  <c r="I109" i="3"/>
  <c r="E46"/>
  <c r="I46" s="1"/>
  <c r="H55"/>
  <c r="AP84" i="19"/>
  <c r="AO87"/>
  <c r="E43" i="24"/>
  <c r="E45" s="1"/>
  <c r="E47" s="1"/>
  <c r="AN61" i="11"/>
  <c r="AO61" i="19" s="1"/>
  <c r="AP61" s="1"/>
  <c r="L47" i="24"/>
  <c r="L46"/>
  <c r="C43"/>
  <c r="C45" s="1"/>
  <c r="C47" s="1"/>
  <c r="G42"/>
  <c r="G43" s="1"/>
  <c r="G45" s="1"/>
  <c r="G46" s="1"/>
  <c r="AN65" i="11"/>
  <c r="AO65" i="19" s="1"/>
  <c r="AP65" s="1"/>
  <c r="I43" i="24"/>
  <c r="I45" s="1"/>
  <c r="D43"/>
  <c r="D45" s="1"/>
  <c r="D47" s="1"/>
  <c r="AN60" i="11"/>
  <c r="AO60" i="19" s="1"/>
  <c r="AP60" s="1"/>
  <c r="M50" i="15"/>
  <c r="M49"/>
  <c r="D45" i="3"/>
  <c r="H108"/>
  <c r="F43" i="24"/>
  <c r="F45" s="1"/>
  <c r="AN62" i="11"/>
  <c r="AO62" i="19" s="1"/>
  <c r="AP62" s="1"/>
  <c r="H43" i="24"/>
  <c r="H45" s="1"/>
  <c r="J43"/>
  <c r="J45" s="1"/>
  <c r="AN66" i="11"/>
  <c r="AO66" i="19" s="1"/>
  <c r="AP66" s="1"/>
  <c r="N46" i="26"/>
  <c r="M47"/>
  <c r="K46" i="24"/>
  <c r="K47"/>
  <c r="K43" i="16"/>
  <c r="I50" i="17"/>
  <c r="H44" i="16"/>
  <c r="H45" s="1"/>
  <c r="Q55" i="18"/>
  <c r="P56"/>
  <c r="I45" i="15"/>
  <c r="H45"/>
  <c r="E45"/>
  <c r="F45"/>
  <c r="D45"/>
  <c r="C45"/>
  <c r="G73" i="5" l="1"/>
  <c r="G74" s="1"/>
  <c r="G75" s="1"/>
  <c r="H106" i="3"/>
  <c r="D43"/>
  <c r="D46" i="15"/>
  <c r="D48" s="1"/>
  <c r="D50" s="1"/>
  <c r="AN70" i="11"/>
  <c r="AO70" i="19" s="1"/>
  <c r="AP70" s="1"/>
  <c r="E46" i="15"/>
  <c r="E48" s="1"/>
  <c r="E50" s="1"/>
  <c r="AN71" i="11"/>
  <c r="AO71" i="19" s="1"/>
  <c r="AP71" s="1"/>
  <c r="J45" i="15"/>
  <c r="J46" s="1"/>
  <c r="J48" s="1"/>
  <c r="H46"/>
  <c r="H48" s="1"/>
  <c r="J50" i="17"/>
  <c r="I51"/>
  <c r="N47" i="26"/>
  <c r="M49"/>
  <c r="AN64" i="11"/>
  <c r="AK67"/>
  <c r="I46" i="24"/>
  <c r="I47"/>
  <c r="AK63" i="11"/>
  <c r="AN59"/>
  <c r="D33" i="3"/>
  <c r="H33" s="1"/>
  <c r="H96"/>
  <c r="D41"/>
  <c r="H104"/>
  <c r="H102"/>
  <c r="D39"/>
  <c r="G45" i="15"/>
  <c r="C46"/>
  <c r="C48" s="1"/>
  <c r="C50" s="1"/>
  <c r="F46"/>
  <c r="F48" s="1"/>
  <c r="AN72" i="11"/>
  <c r="AO72" i="19" s="1"/>
  <c r="AP72" s="1"/>
  <c r="I46" i="15"/>
  <c r="I48" s="1"/>
  <c r="AN75" i="11"/>
  <c r="AO75" i="19" s="1"/>
  <c r="AP75" s="1"/>
  <c r="Q56" i="18"/>
  <c r="P58"/>
  <c r="H46" i="16"/>
  <c r="K45"/>
  <c r="L45" s="1"/>
  <c r="O52" i="17" s="1"/>
  <c r="P52" s="1"/>
  <c r="I52"/>
  <c r="J52" s="1"/>
  <c r="L43" i="16"/>
  <c r="K44"/>
  <c r="J47" i="24"/>
  <c r="J46"/>
  <c r="H46"/>
  <c r="H47"/>
  <c r="F46"/>
  <c r="F47"/>
  <c r="H45" i="3"/>
  <c r="E45"/>
  <c r="I45" s="1"/>
  <c r="AP87" i="19"/>
  <c r="AO82"/>
  <c r="AP82" s="1"/>
  <c r="AK68" i="11" l="1"/>
  <c r="E103" i="3"/>
  <c r="I102"/>
  <c r="E119"/>
  <c r="H48" i="16"/>
  <c r="H47"/>
  <c r="I50" i="15"/>
  <c r="I49"/>
  <c r="F49"/>
  <c r="F50"/>
  <c r="H39" i="3"/>
  <c r="AO59" i="19"/>
  <c r="AN63" i="11"/>
  <c r="N49" i="26"/>
  <c r="M50"/>
  <c r="M51"/>
  <c r="N51" s="1"/>
  <c r="J51" i="17"/>
  <c r="I53"/>
  <c r="AN74" i="11"/>
  <c r="AK76"/>
  <c r="J49" i="15"/>
  <c r="J50"/>
  <c r="K46" i="16"/>
  <c r="E97" i="3"/>
  <c r="I97" s="1"/>
  <c r="I96"/>
  <c r="C6" i="9"/>
  <c r="I106" i="3"/>
  <c r="E107"/>
  <c r="I47"/>
  <c r="I48"/>
  <c r="C16" i="9"/>
  <c r="O50" i="17"/>
  <c r="L44" i="16"/>
  <c r="L46" s="1"/>
  <c r="Q58" i="18"/>
  <c r="P59"/>
  <c r="P60"/>
  <c r="Q60" s="1"/>
  <c r="AK73" i="11"/>
  <c r="AN69"/>
  <c r="G46" i="15"/>
  <c r="G48" s="1"/>
  <c r="K45"/>
  <c r="H41" i="3"/>
  <c r="AN68" i="11"/>
  <c r="AO64" i="19"/>
  <c r="AN67" i="11"/>
  <c r="H49" i="15"/>
  <c r="H50"/>
  <c r="H43" i="3"/>
  <c r="AK77" i="11" l="1"/>
  <c r="AK58" s="1"/>
  <c r="AK57" s="1"/>
  <c r="H120" i="3"/>
  <c r="D57"/>
  <c r="K46" i="15"/>
  <c r="K48" s="1"/>
  <c r="L55" i="18"/>
  <c r="AN73" i="11"/>
  <c r="AO69" i="19"/>
  <c r="O51" i="17"/>
  <c r="P50"/>
  <c r="I107" i="3"/>
  <c r="E44"/>
  <c r="E6" i="9"/>
  <c r="I55" i="17"/>
  <c r="J55" s="1"/>
  <c r="J53"/>
  <c r="I54"/>
  <c r="J54" s="1"/>
  <c r="AO63" i="19"/>
  <c r="AP59"/>
  <c r="I103" i="3"/>
  <c r="E40"/>
  <c r="I120"/>
  <c r="E121"/>
  <c r="D70" i="4"/>
  <c r="F70" s="1"/>
  <c r="AP64" i="19"/>
  <c r="AO67"/>
  <c r="AP67" s="1"/>
  <c r="G50" i="15"/>
  <c r="G49"/>
  <c r="D124" i="4"/>
  <c r="F124" s="1"/>
  <c r="Q59" i="18"/>
  <c r="L48" i="16"/>
  <c r="L47"/>
  <c r="C17" i="9"/>
  <c r="E17" s="1"/>
  <c r="E16"/>
  <c r="K48" i="16"/>
  <c r="K47"/>
  <c r="AN76" i="11"/>
  <c r="AO74" i="19"/>
  <c r="D92" i="4"/>
  <c r="F92" s="1"/>
  <c r="N50" i="26"/>
  <c r="I119" i="3"/>
  <c r="E56"/>
  <c r="I121" l="1"/>
  <c r="E58"/>
  <c r="I58" s="1"/>
  <c r="I40"/>
  <c r="E39"/>
  <c r="I39" s="1"/>
  <c r="O53" i="17"/>
  <c r="P51"/>
  <c r="K49" i="15"/>
  <c r="K50"/>
  <c r="AN77" i="11"/>
  <c r="AN58" s="1"/>
  <c r="I56" i="3"/>
  <c r="E55"/>
  <c r="I55" s="1"/>
  <c r="AO76" i="19"/>
  <c r="AP76" s="1"/>
  <c r="AP74"/>
  <c r="AO68"/>
  <c r="AP63"/>
  <c r="I44" i="3"/>
  <c r="E43"/>
  <c r="I43" s="1"/>
  <c r="AO73" i="19"/>
  <c r="AP69"/>
  <c r="M55" i="18"/>
  <c r="L56"/>
  <c r="H57" i="3"/>
  <c r="E57"/>
  <c r="E105" l="1"/>
  <c r="I104"/>
  <c r="E127"/>
  <c r="I57"/>
  <c r="M56" i="18"/>
  <c r="L58"/>
  <c r="O55" i="17"/>
  <c r="P53"/>
  <c r="AO77" i="19"/>
  <c r="AP77" s="1"/>
  <c r="AP73"/>
  <c r="AP68"/>
  <c r="AO58" l="1"/>
  <c r="L60" i="18"/>
  <c r="M60" s="1"/>
  <c r="L59"/>
  <c r="M58"/>
  <c r="C24" i="9"/>
  <c r="I127" i="3"/>
  <c r="E12" i="8"/>
  <c r="D19" i="4"/>
  <c r="I105" i="3"/>
  <c r="E42"/>
  <c r="AP58" i="19" l="1"/>
  <c r="I42" i="3"/>
  <c r="E41"/>
  <c r="F19" i="4"/>
  <c r="D30"/>
  <c r="F30" s="1"/>
  <c r="E5" i="8"/>
  <c r="F5" s="1"/>
  <c r="E29"/>
  <c r="C21" i="9"/>
  <c r="E24"/>
  <c r="M59" i="18"/>
  <c r="D109" i="4"/>
  <c r="F109" s="1"/>
  <c r="E21" i="9" l="1"/>
  <c r="F12" i="8"/>
  <c r="M5"/>
  <c r="E93"/>
  <c r="E94"/>
  <c r="I41" i="3"/>
  <c r="M12" i="8" l="1"/>
  <c r="F29"/>
  <c r="M29" l="1"/>
  <c r="F93"/>
  <c r="M93" s="1"/>
  <c r="F94"/>
  <c r="M94" s="1"/>
  <c r="E34" i="3" l="1"/>
  <c r="I34" s="1"/>
  <c r="I33"/>
  <c r="C7" i="9"/>
  <c r="E7" l="1"/>
  <c r="C8"/>
  <c r="E8" l="1"/>
  <c r="I21" i="3" l="1"/>
  <c r="E22"/>
  <c r="I22" s="1"/>
  <c r="C10" i="9"/>
  <c r="I35" i="3"/>
  <c r="E36"/>
  <c r="I36" s="1"/>
  <c r="E18" l="1"/>
  <c r="I18" s="1"/>
  <c r="I17"/>
  <c r="E28"/>
  <c r="I28" s="1"/>
  <c r="I27"/>
  <c r="E10"/>
  <c r="I10" s="1"/>
  <c r="I9"/>
  <c r="E7"/>
  <c r="I15"/>
  <c r="E16"/>
  <c r="I16" s="1"/>
  <c r="E19"/>
  <c r="I13"/>
  <c r="E14"/>
  <c r="I14" s="1"/>
  <c r="E10" i="9"/>
  <c r="C11"/>
  <c r="I11" i="3"/>
  <c r="E12"/>
  <c r="I12" s="1"/>
  <c r="I31"/>
  <c r="E32"/>
  <c r="I32" s="1"/>
  <c r="I25"/>
  <c r="E26"/>
  <c r="I26" s="1"/>
  <c r="E24"/>
  <c r="I24" s="1"/>
  <c r="I23"/>
  <c r="E8" l="1"/>
  <c r="I8" s="1"/>
  <c r="I7"/>
  <c r="E5"/>
  <c r="E11" i="9"/>
  <c r="D4" i="4"/>
  <c r="I19" i="3"/>
  <c r="E20"/>
  <c r="I20" s="1"/>
  <c r="C4" i="9" l="1"/>
  <c r="I5" i="3"/>
  <c r="E6"/>
  <c r="I6" s="1"/>
  <c r="E64"/>
  <c r="E4" i="9" l="1"/>
  <c r="C5"/>
  <c r="I64" i="3"/>
  <c r="C25" i="9"/>
  <c r="E25" l="1"/>
  <c r="C22"/>
  <c r="C26"/>
  <c r="E5"/>
  <c r="D3" i="4"/>
  <c r="F3" s="1"/>
  <c r="C60" i="9" l="1"/>
  <c r="E26"/>
  <c r="D7" i="4"/>
  <c r="E22" i="9"/>
  <c r="C23"/>
  <c r="D6" i="4" l="1"/>
  <c r="F6" s="1"/>
  <c r="E23" i="9"/>
  <c r="F7" i="4"/>
  <c r="D17"/>
  <c r="F17" s="1"/>
  <c r="E60" i="9"/>
  <c r="C64"/>
  <c r="D13" i="4" l="1"/>
  <c r="F13" s="1"/>
  <c r="C70" i="9"/>
  <c r="E64"/>
  <c r="E70" l="1"/>
  <c r="D16" i="4"/>
  <c r="F16" s="1"/>
  <c r="K57" i="11" l="1"/>
  <c r="M113"/>
  <c r="AK46" l="1"/>
  <c r="AC113"/>
  <c r="AN46" l="1"/>
  <c r="AK42"/>
  <c r="AK54" s="1"/>
  <c r="AN113"/>
  <c r="AO113" i="19" l="1"/>
  <c r="AO46"/>
  <c r="AN42" i="11"/>
  <c r="AP46" i="19" l="1"/>
  <c r="AO42"/>
  <c r="AP113"/>
  <c r="AP42" l="1"/>
  <c r="J5" i="11"/>
  <c r="J41" s="1"/>
  <c r="J54" s="1"/>
  <c r="J116" s="1"/>
  <c r="M18"/>
  <c r="M20" s="1"/>
  <c r="J20"/>
  <c r="J57" l="1"/>
  <c r="M116"/>
  <c r="AC18"/>
  <c r="M5"/>
  <c r="M41" s="1"/>
  <c r="M54" s="1"/>
  <c r="AC20" l="1"/>
  <c r="AN18"/>
  <c r="AC5"/>
  <c r="AC41" s="1"/>
  <c r="AC54" s="1"/>
  <c r="M57"/>
  <c r="AC116"/>
  <c r="AC57" l="1"/>
  <c r="AN116"/>
  <c r="AN20"/>
  <c r="AN5"/>
  <c r="AN41" s="1"/>
  <c r="AN54" s="1"/>
  <c r="AO18" i="19"/>
  <c r="AP18" l="1"/>
  <c r="AO5"/>
  <c r="AO20"/>
  <c r="AP20" s="1"/>
  <c r="AN57" i="11"/>
  <c r="AO116" i="19"/>
  <c r="AO57" l="1"/>
  <c r="AP57" s="1"/>
  <c r="AP116"/>
  <c r="AP5"/>
  <c r="AO41"/>
  <c r="AP41" l="1"/>
  <c r="AO54"/>
  <c r="AP54" s="1"/>
  <c r="B42" i="6" l="1"/>
  <c r="G42" s="1"/>
  <c r="I43" i="20" s="1"/>
  <c r="J43" s="1"/>
  <c r="C2" i="6" l="1"/>
  <c r="C2" i="20" s="1"/>
  <c r="C4" s="1"/>
  <c r="B2" i="6" l="1"/>
  <c r="B2" i="20" l="1"/>
  <c r="B4" s="1"/>
  <c r="B57" i="6"/>
  <c r="B41" l="1"/>
  <c r="G41" l="1"/>
  <c r="I42" i="20" s="1"/>
  <c r="J42" s="1"/>
  <c r="B40" i="6"/>
  <c r="B51" l="1"/>
  <c r="B56" s="1"/>
  <c r="B59" s="1"/>
  <c r="C43" l="1"/>
  <c r="G43" l="1"/>
  <c r="I44" i="20" s="1"/>
  <c r="J44" s="1"/>
  <c r="C40" i="6"/>
  <c r="C51" l="1"/>
  <c r="C56" s="1"/>
  <c r="C59" s="1"/>
  <c r="C62" s="1"/>
  <c r="C57" s="1"/>
  <c r="D44" l="1"/>
  <c r="D40" l="1"/>
  <c r="E44"/>
  <c r="E40" s="1"/>
  <c r="E51" s="1"/>
  <c r="E56" s="1"/>
  <c r="E59" s="1"/>
  <c r="D51" l="1"/>
  <c r="D56" s="1"/>
  <c r="G40"/>
  <c r="G44"/>
  <c r="I45" i="20" s="1"/>
  <c r="J45" s="1"/>
  <c r="D59" i="6" l="1"/>
  <c r="D57"/>
  <c r="I41" i="20"/>
  <c r="G51" i="6"/>
  <c r="G56" s="1"/>
  <c r="G59" s="1"/>
  <c r="I52" i="20" l="1"/>
  <c r="J41"/>
  <c r="D62" i="6"/>
  <c r="D60"/>
  <c r="G60" s="1"/>
  <c r="I61" i="20" s="1"/>
  <c r="J61" s="1"/>
  <c r="J52" l="1"/>
  <c r="I57"/>
  <c r="I60" l="1"/>
  <c r="J60" s="1"/>
  <c r="J57"/>
</calcChain>
</file>

<file path=xl/comments1.xml><?xml version="1.0" encoding="utf-8"?>
<comments xmlns="http://schemas.openxmlformats.org/spreadsheetml/2006/main">
  <authors>
    <author>g-econom</author>
  </authors>
  <commentList>
    <comment ref="F100" authorId="0">
      <text>
        <r>
          <rPr>
            <b/>
            <sz val="8"/>
            <color indexed="81"/>
            <rFont val="Tahoma"/>
            <family val="2"/>
            <charset val="204"/>
          </rPr>
          <t>g-econom:</t>
        </r>
        <r>
          <rPr>
            <sz val="8"/>
            <color indexed="81"/>
            <rFont val="Tahoma"/>
            <family val="2"/>
            <charset val="204"/>
          </rPr>
          <t xml:space="preserve">
п/ф+пор,жилов</t>
        </r>
      </text>
    </comment>
    <comment ref="G106" authorId="0">
      <text>
        <r>
          <rPr>
            <b/>
            <sz val="8"/>
            <color indexed="81"/>
            <rFont val="Tahoma"/>
            <family val="2"/>
            <charset val="204"/>
          </rPr>
          <t>g-econom:</t>
        </r>
        <r>
          <rPr>
            <sz val="8"/>
            <color indexed="81"/>
            <rFont val="Tahoma"/>
            <family val="2"/>
            <charset val="204"/>
          </rPr>
          <t xml:space="preserve">
набоы для борща, суповые наборы,наборы для холодца</t>
        </r>
      </text>
    </comment>
    <comment ref="G124" authorId="0">
      <text>
        <r>
          <rPr>
            <b/>
            <sz val="8"/>
            <color indexed="81"/>
            <rFont val="Tahoma"/>
            <family val="2"/>
            <charset val="204"/>
          </rPr>
          <t>g-econom:</t>
        </r>
        <r>
          <rPr>
            <sz val="8"/>
            <color indexed="81"/>
            <rFont val="Tahoma"/>
            <family val="2"/>
            <charset val="204"/>
          </rPr>
          <t xml:space="preserve">
черева+конф+нав+КРС в ж.в.+силос+пакеты
</t>
        </r>
      </text>
    </comment>
  </commentList>
</comments>
</file>

<file path=xl/comments2.xml><?xml version="1.0" encoding="utf-8"?>
<comments xmlns="http://schemas.openxmlformats.org/spreadsheetml/2006/main">
  <authors>
    <author>g-econom</author>
  </authors>
  <commentList>
    <comment ref="J18" authorId="0">
      <text>
        <r>
          <rPr>
            <b/>
            <sz val="8"/>
            <color indexed="81"/>
            <rFont val="Tahoma"/>
            <family val="2"/>
            <charset val="204"/>
          </rPr>
          <t>g-econom:</t>
        </r>
        <r>
          <rPr>
            <sz val="8"/>
            <color indexed="81"/>
            <rFont val="Tahoma"/>
            <family val="2"/>
            <charset val="204"/>
          </rPr>
          <t xml:space="preserve">
2-ая цифра это ЕУ</t>
        </r>
      </text>
    </comment>
    <comment ref="N33" authorId="0">
      <text>
        <r>
          <rPr>
            <b/>
            <sz val="8"/>
            <color indexed="81"/>
            <rFont val="Tahoma"/>
            <family val="2"/>
            <charset val="204"/>
          </rPr>
          <t>g-econom:</t>
        </r>
        <r>
          <rPr>
            <sz val="8"/>
            <color indexed="81"/>
            <rFont val="Tahoma"/>
            <family val="2"/>
            <charset val="204"/>
          </rPr>
          <t xml:space="preserve">
аренда мини ТЭС
</t>
        </r>
      </text>
    </comment>
    <comment ref="I121" authorId="0">
      <text>
        <r>
          <rPr>
            <b/>
            <sz val="8"/>
            <color indexed="81"/>
            <rFont val="Tahoma"/>
            <family val="2"/>
            <charset val="204"/>
          </rPr>
          <t>g-econom:</t>
        </r>
        <r>
          <rPr>
            <sz val="8"/>
            <color indexed="81"/>
            <rFont val="Tahoma"/>
            <family val="2"/>
            <charset val="204"/>
          </rPr>
          <t xml:space="preserve">
нераспределенные</t>
        </r>
      </text>
    </comment>
  </commentList>
</comments>
</file>

<file path=xl/sharedStrings.xml><?xml version="1.0" encoding="utf-8"?>
<sst xmlns="http://schemas.openxmlformats.org/spreadsheetml/2006/main" count="2446" uniqueCount="699">
  <si>
    <t>группа</t>
  </si>
  <si>
    <t xml:space="preserve">   наличие на начало месяца</t>
  </si>
  <si>
    <t xml:space="preserve">     наличие на конец месяца</t>
  </si>
  <si>
    <t>среднемесячное поголовье</t>
  </si>
  <si>
    <t>кормодни</t>
  </si>
  <si>
    <t>приход</t>
  </si>
  <si>
    <t>расход</t>
  </si>
  <si>
    <t>покупка</t>
  </si>
  <si>
    <t>привес</t>
  </si>
  <si>
    <t>падеж</t>
  </si>
  <si>
    <t>гол.</t>
  </si>
  <si>
    <t>вес т.</t>
  </si>
  <si>
    <t>тонн</t>
  </si>
  <si>
    <t>гр.</t>
  </si>
  <si>
    <t>кг.</t>
  </si>
  <si>
    <t>тонн.</t>
  </si>
  <si>
    <t>факт</t>
  </si>
  <si>
    <t>Отклонение</t>
  </si>
  <si>
    <t>ИТОГО</t>
  </si>
  <si>
    <t xml:space="preserve">               Движение поголовья</t>
  </si>
  <si>
    <t>среднесуточный привес</t>
  </si>
  <si>
    <t>норма кормления</t>
  </si>
  <si>
    <t>кормов в месяц</t>
  </si>
  <si>
    <t>прочие покупные корма</t>
  </si>
  <si>
    <t>всего</t>
  </si>
  <si>
    <t>в т.ч</t>
  </si>
  <si>
    <t>приплод</t>
  </si>
  <si>
    <t xml:space="preserve">переведено из других групп </t>
  </si>
  <si>
    <t xml:space="preserve">переведено в другие группы </t>
  </si>
  <si>
    <t>забито</t>
  </si>
  <si>
    <t xml:space="preserve"> реализовано</t>
  </si>
  <si>
    <t>санзабой</t>
  </si>
  <si>
    <t>к/к с ККХП</t>
  </si>
  <si>
    <t>вес</t>
  </si>
  <si>
    <t>хряки пр. план</t>
  </si>
  <si>
    <t>св/м осн. План</t>
  </si>
  <si>
    <t>св/м пр. план</t>
  </si>
  <si>
    <t>ИТОГО ПЛАН</t>
  </si>
  <si>
    <t>ИТОГО ФАКТ</t>
  </si>
  <si>
    <t>тыс.руб</t>
  </si>
  <si>
    <t>цена</t>
  </si>
  <si>
    <t>Показатели реализации</t>
  </si>
  <si>
    <t>ПЛАН</t>
  </si>
  <si>
    <t>ФАКТ</t>
  </si>
  <si>
    <t>натур. показ.</t>
  </si>
  <si>
    <t>тыс. руб.</t>
  </si>
  <si>
    <t xml:space="preserve"> - себестоимость единицы выпуска продукции</t>
  </si>
  <si>
    <t>СУБПРОДУКТЫ</t>
  </si>
  <si>
    <t>ПОЛУФАБРИКАТЫ</t>
  </si>
  <si>
    <t>ВЫРЕЗКА</t>
  </si>
  <si>
    <t xml:space="preserve"> - средняя отпускная цена единицы продукции</t>
  </si>
  <si>
    <t>ПОГОЛОВЬЕ СВИНЕЙ НА ВЫРАЩИВАНИИ И ОТКОРМЕ В ЖИВОМ ВЕСЕ</t>
  </si>
  <si>
    <t>МЯСОПРОДУКТЫ ДЛЯ ЖИВОТНЫХ</t>
  </si>
  <si>
    <t>ПРОЧАЯ ПРОДУКЦИЯ</t>
  </si>
  <si>
    <t>УСЛУГИ НА СТОРОНУ</t>
  </si>
  <si>
    <t xml:space="preserve"> АРЕНДА ОС</t>
  </si>
  <si>
    <t>ИТОГО ОБЪЕМ ВЫПУСКА ДЛЯ РЕАЛИЗАЦИИ</t>
  </si>
  <si>
    <t>ИТОГО РЕАЛИЗАЦИЯ ПРОДУКЦИИ</t>
  </si>
  <si>
    <t>Элементы затрат</t>
  </si>
  <si>
    <t>автобусы</t>
  </si>
  <si>
    <t xml:space="preserve">МАТЕРИАЛЬНЫЕ РАСХОДЫ </t>
  </si>
  <si>
    <t>Электроэнергия</t>
  </si>
  <si>
    <t xml:space="preserve">  тыс.   кВтЧ</t>
  </si>
  <si>
    <t xml:space="preserve">     цена</t>
  </si>
  <si>
    <t>Газ</t>
  </si>
  <si>
    <t xml:space="preserve">     тыс.м3</t>
  </si>
  <si>
    <t>Газ сжиженный</t>
  </si>
  <si>
    <t>Дизельное топливо</t>
  </si>
  <si>
    <t>Бензин</t>
  </si>
  <si>
    <t xml:space="preserve">  тыс.   л</t>
  </si>
  <si>
    <t>прочие ГСМ</t>
  </si>
  <si>
    <t>Прочие материалы (кроме материалов для ремонта ОС)</t>
  </si>
  <si>
    <t>АММОРТИЗАЦИЯ</t>
  </si>
  <si>
    <t>ОПЛАТА ТРУДА</t>
  </si>
  <si>
    <t>ОТЧИСЛЕНИЯ (ЕСН)</t>
  </si>
  <si>
    <t>РЕМОНТ ОС</t>
  </si>
  <si>
    <t xml:space="preserve"> - материалы  для ремонта ОС </t>
  </si>
  <si>
    <t xml:space="preserve"> - запчасти для транспорта </t>
  </si>
  <si>
    <t xml:space="preserve"> - услуги сторонних организаций и предпринимателей по ремонту ОС</t>
  </si>
  <si>
    <t>ПРОЧИЕ РАСХОДЫ</t>
  </si>
  <si>
    <t>Управленческие услуи</t>
  </si>
  <si>
    <t>Аренда помещений</t>
  </si>
  <si>
    <t>Представительские расходы</t>
  </si>
  <si>
    <t xml:space="preserve">Командировочные расходы </t>
  </si>
  <si>
    <t>Естественная убыль, уценка продукции, производ. потери</t>
  </si>
  <si>
    <t>Налоги, относимые на себестоимость</t>
  </si>
  <si>
    <t>Реклама</t>
  </si>
  <si>
    <t>Проведение выставок</t>
  </si>
  <si>
    <t>Прочие расходы</t>
  </si>
  <si>
    <t>ЗАТРАТЫ ВСПОМОГАТЕЛЬНЫХ ПРОИЗВОДСТВ</t>
  </si>
  <si>
    <t>Объем выпуска продукции плановый</t>
  </si>
  <si>
    <t>Объем выпуска продукции фактический</t>
  </si>
  <si>
    <t>Убойный цех</t>
  </si>
  <si>
    <t>жиловочный цех</t>
  </si>
  <si>
    <t>колбасный цех</t>
  </si>
  <si>
    <t>Прочие</t>
  </si>
  <si>
    <t>Итого пром.пр-во план</t>
  </si>
  <si>
    <t xml:space="preserve">    тонн</t>
  </si>
  <si>
    <t xml:space="preserve">    цена</t>
  </si>
  <si>
    <t>КРС в живом весе</t>
  </si>
  <si>
    <t>Вспомогательные материалы</t>
  </si>
  <si>
    <t>Семенной материал</t>
  </si>
  <si>
    <t>ПРЯМЫЕ ЗАТРАТЫ НА ОСНОВНОЕ ПРОИЗВОДСТВО</t>
  </si>
  <si>
    <t xml:space="preserve"> в т.ч. Растениеводство</t>
  </si>
  <si>
    <t xml:space="preserve"> в т.ч. Убойный цех                                                                                                                                </t>
  </si>
  <si>
    <t>в т.ч. Жиловочный цех</t>
  </si>
  <si>
    <t xml:space="preserve"> в т.ч. Прочие</t>
  </si>
  <si>
    <t>ОБЩЕПРОИЗВОДСТВЕННЫЕ ЗАТРАТЫ</t>
  </si>
  <si>
    <t>СЕБЕСТОИМОСТЬ ВЫПУСКА</t>
  </si>
  <si>
    <t xml:space="preserve">          В Т.Ч. ЕДЕНИЦЫ ПРОДУКЦИИ</t>
  </si>
  <si>
    <t xml:space="preserve">ОБЩЕХОЗЯЙСТВЕННЫЕ РАСХОДЫ </t>
  </si>
  <si>
    <t>ЗАТРАТЫ ОБСЛУЖИВАЮЩИХ ПРОИЗВОДСТВ</t>
  </si>
  <si>
    <t>ПОЛНАЯ СЕБЕСТОИМОСТЬ ПРОДУКЦИИ</t>
  </si>
  <si>
    <t>РАСХОДЫ ПО РЕАЛИЗАЦИИ</t>
  </si>
  <si>
    <t>СЕБЕСТОИМОСТЬ РЕАЛИЗОВАННОЙ ПРОДУКЦИИ</t>
  </si>
  <si>
    <t>Промышленное производство</t>
  </si>
  <si>
    <t>Затраты основного производства (20 счет)</t>
  </si>
  <si>
    <t>Затраты на вспомогательное производство (23 счет)</t>
  </si>
  <si>
    <t>Общепроизводственные затраты (25 счет)</t>
  </si>
  <si>
    <t>Затраты на обслуживающие производства (29 счет)</t>
  </si>
  <si>
    <t>Общехозяйственные расходы (26 счет)</t>
  </si>
  <si>
    <t>Коммерческие расходы (44 счет)</t>
  </si>
  <si>
    <t>Прямые затраты на основное производство (20 счет)</t>
  </si>
  <si>
    <t xml:space="preserve">     тонна</t>
  </si>
  <si>
    <t>Комбикорма прочие</t>
  </si>
  <si>
    <t>Прочие покупные корма</t>
  </si>
  <si>
    <t>Прочие свои корма</t>
  </si>
  <si>
    <t>Ветпрепараты</t>
  </si>
  <si>
    <t>Прочие ГСМ</t>
  </si>
  <si>
    <t>Консервант АИВ, пестициды</t>
  </si>
  <si>
    <t xml:space="preserve"> - материалы для ремонта ОС </t>
  </si>
  <si>
    <t>Аренда помещений, оборудования</t>
  </si>
  <si>
    <t>Естественная убыль, уценка продукции, производственные потери</t>
  </si>
  <si>
    <t xml:space="preserve"> в т.ч. Молодняк КРС</t>
  </si>
  <si>
    <t xml:space="preserve"> в т.ч. Промышленное производство</t>
  </si>
  <si>
    <t>КОММЕРЧЕСКИЕ РАСХОДЫ</t>
  </si>
  <si>
    <t>ИТОГО РАСПРЕДЕЛЕНО</t>
  </si>
  <si>
    <t xml:space="preserve">  - распределение счета</t>
  </si>
  <si>
    <t xml:space="preserve">  -всего затрат по счету</t>
  </si>
  <si>
    <t>ПОКАЗАТЕЛИ ДОХОДНОСТИ</t>
  </si>
  <si>
    <t>ОТКЛ.</t>
  </si>
  <si>
    <t>ПРИБЫЛЬ ОТ РЕАЛИЗАЦИИ ПОГОЛОВЬЯ СВИНЕЙ</t>
  </si>
  <si>
    <t>ПРИБЫЛЬ ОТ ПРОЧЕЙ РЕАЛИЗАЦИИ</t>
  </si>
  <si>
    <t>ПРИБЫЛЬ ОТ ПРОДАЖ</t>
  </si>
  <si>
    <t>ПРОЧИЕ ДОХОДЫ</t>
  </si>
  <si>
    <t xml:space="preserve">     - в т.ч. Дотации и компенсации</t>
  </si>
  <si>
    <t xml:space="preserve">     - в т.ч. Проценты по кредитам</t>
  </si>
  <si>
    <t xml:space="preserve">  - в т.ч. Социальные выплаты</t>
  </si>
  <si>
    <t>ЧИСТАЯ ПРИБЫЛЬ</t>
  </si>
  <si>
    <t>КАПИТАЛЬНЫЕ ВЛОЖЕНИЯ</t>
  </si>
  <si>
    <t>ПРОЧИЕ РАСХОДЫ ЗА СЧЕТ ЧИСТОЙ ПРИБЫЛИ</t>
  </si>
  <si>
    <t>ОСТАТОК ЧИСТОЙ ПРИБЫЛИ</t>
  </si>
  <si>
    <t>РЕНТАБЕЛЬНОСТЬ ПРОДАЖ</t>
  </si>
  <si>
    <t>%</t>
  </si>
  <si>
    <t>РЕАЛИЗАЦИЯ ПРОДУКЦИИ, ТОВАРОВ, РАБОТ, УСЛУГ</t>
  </si>
  <si>
    <t>в т.ч. РЕАЛИЗАЦИЯ КОЛБАСНЫХ ИЗДЕЛИЙ</t>
  </si>
  <si>
    <t>руб./тонну</t>
  </si>
  <si>
    <t>в т.ч. РЕАЛИЗАЦИЯ ПОЛУФАБРИКАТОВ НАТУРАЛЬНЫХ</t>
  </si>
  <si>
    <t>в т.ч. РЕАЛИЗАЦИЯ СВИНЕЙ  В ЖИВОМ ВЕСЕ</t>
  </si>
  <si>
    <t>голов</t>
  </si>
  <si>
    <t>руб./кг</t>
  </si>
  <si>
    <t>ПРОЦЕНТ ОПЛАТЫ РЕАЛИЗОВАННОЙ ПРОДУКЦИИ</t>
  </si>
  <si>
    <t>ЗАДОЛЖЕННОСТЬ ПОКУПАТЕЛЕЙ</t>
  </si>
  <si>
    <t>в т.ч прочие покупные корма</t>
  </si>
  <si>
    <t>ЗАКУП КРС ДЛЯ МПЦ</t>
  </si>
  <si>
    <t>ПОКАЗАТЕЛИ ЗАТРАТ НА ПРОИЗВОДСТВО ПРОДУКЦИИ</t>
  </si>
  <si>
    <t>ЗАТРАТЫ ПРОИЗВОДСТВА</t>
  </si>
  <si>
    <t xml:space="preserve"> - МАТЕРИАЛЬНЫЕ РАСХОДЫ (КРОМЕ ОСНОВНОГО СЫРЬЯ)</t>
  </si>
  <si>
    <t xml:space="preserve"> - АММОРТИЗАЦИЯ</t>
  </si>
  <si>
    <t xml:space="preserve"> - ОПЛАТА ТРУДА</t>
  </si>
  <si>
    <t xml:space="preserve"> - ОТЧИСЛЕНИЯ С ФОТ</t>
  </si>
  <si>
    <t xml:space="preserve"> - РЕМОНТ ОС</t>
  </si>
  <si>
    <t xml:space="preserve"> - ПРОЧИЕ РАСХОДЫ</t>
  </si>
  <si>
    <t>ПРОИЗВОДСТВЕННЫЕ ПОКАЗАТЕЛИ УБОЙНОГО И ЖИЛОВКИ</t>
  </si>
  <si>
    <t>ЗАБОЙ СВИНЕЙ В ЖИВОМ ВЕСЕ</t>
  </si>
  <si>
    <t>СВИНИНА В УБОЙНОМ ВЕСЕ</t>
  </si>
  <si>
    <t>выход %</t>
  </si>
  <si>
    <t>ЖИЛОВАННАЯ СВИНИНА</t>
  </si>
  <si>
    <t>ЗАБОЙ КРС В ЖИВОМ ВЕСЕ</t>
  </si>
  <si>
    <t>КРС В УБОЙНОМ ВЕСЕ</t>
  </si>
  <si>
    <t>ЖИЛОВАННАЯ ГОВЯДИНА</t>
  </si>
  <si>
    <t>ПОГОЛОВЬЕ НА НАЧАЛО ПЕРИОДА</t>
  </si>
  <si>
    <t>ПОКУПКА СВИНЕЙ</t>
  </si>
  <si>
    <t>руб/кг</t>
  </si>
  <si>
    <t xml:space="preserve">СРЕДНЕСУТОЧНЫЙ ПРИВЕС ПО СТАДУ </t>
  </si>
  <si>
    <t>грамм</t>
  </si>
  <si>
    <t>В Т.Ч. НА ОТКОРМЕ</t>
  </si>
  <si>
    <t>ОПОРОСОВ</t>
  </si>
  <si>
    <t>ПРИПЛОД</t>
  </si>
  <si>
    <t>В Т.Ч. НА ОДИН ОПОРОС</t>
  </si>
  <si>
    <t>ПАДЕЖ</t>
  </si>
  <si>
    <t>ВАЛОВЫЙ ПРИВЕС</t>
  </si>
  <si>
    <t xml:space="preserve">ПРИРОСТ </t>
  </si>
  <si>
    <t>СЕБЕСТОИМОСТЬ 1 КГ ПРИРОСТА</t>
  </si>
  <si>
    <t>рублей</t>
  </si>
  <si>
    <t>ПОГОЛОВЬЕ НА КОНЕЦ ПЕРИОДА</t>
  </si>
  <si>
    <t>СТАТЬИ ДОХОДОВ И РАСХОДОВ</t>
  </si>
  <si>
    <t>ОТКЛОНЕНИЕ</t>
  </si>
  <si>
    <t xml:space="preserve">СЕБЕСТОИМОСТЬ РЕАЛИЗОВАННОЙ ПРОДУКЦИИ </t>
  </si>
  <si>
    <t>ПРИБЫЛЬ ОТ РЕАЛИЗАЦИИ МЯСА СВИНИНЫ</t>
  </si>
  <si>
    <t>РЕАЛИЗАЦИЯ ПОГОЛОВЬЯ СВИНЕЙ В ЖИВОМ ВЕСЕ</t>
  </si>
  <si>
    <t>ПРИБЫЛЬ ОТ РЕАЛИЗАЦИИ ПОГОЛОВЬЯ СВИНЕЙ В ЖИВОМ ВЕСЕ</t>
  </si>
  <si>
    <t>ВСЕГО РЕАЛИЗАЦИЯ ПРОДУКЦИИ</t>
  </si>
  <si>
    <t>ВСЕГО СЕБЕСТОИМОСТЬ РЕАЛИЗАЦИИ</t>
  </si>
  <si>
    <t xml:space="preserve">ПРИБЫЛЬ ОТ ПРОДАЖ </t>
  </si>
  <si>
    <t xml:space="preserve"> - доход от реализации основных средств, материалов</t>
  </si>
  <si>
    <t xml:space="preserve"> - дотации по свиноводству, КРС </t>
  </si>
  <si>
    <t xml:space="preserve"> - дотации по капвложениям</t>
  </si>
  <si>
    <t xml:space="preserve"> - дотации на племскот</t>
  </si>
  <si>
    <t xml:space="preserve"> - дотации на растениеводство</t>
  </si>
  <si>
    <t xml:space="preserve"> - компенсация убытков социальной сферы</t>
  </si>
  <si>
    <t xml:space="preserve"> - компенсация процентной ставки по краткосрочным кредитам</t>
  </si>
  <si>
    <t xml:space="preserve"> - компенсация процентной ставки по долгосрочным кредитам</t>
  </si>
  <si>
    <t xml:space="preserve"> - доходы от аренды</t>
  </si>
  <si>
    <t xml:space="preserve"> - прочие доходы</t>
  </si>
  <si>
    <t xml:space="preserve"> - проценты по полученным кредитам и займам</t>
  </si>
  <si>
    <t xml:space="preserve"> - проценты по полученным долгосрочным кредитам </t>
  </si>
  <si>
    <t xml:space="preserve"> - стоимость проданных основных средств и материалов</t>
  </si>
  <si>
    <t xml:space="preserve"> - штрафы, пени, неустойки </t>
  </si>
  <si>
    <t>СОЦИАЛЬНЫЕ ВЫПЛАТЫ</t>
  </si>
  <si>
    <t xml:space="preserve"> - матпомощь</t>
  </si>
  <si>
    <t xml:space="preserve"> - благотворительность</t>
  </si>
  <si>
    <t xml:space="preserve"> - путевки</t>
  </si>
  <si>
    <t xml:space="preserve"> - дополнительный отпуск</t>
  </si>
  <si>
    <t xml:space="preserve"> - единовременная премия</t>
  </si>
  <si>
    <t xml:space="preserve"> - больничные листы </t>
  </si>
  <si>
    <t xml:space="preserve"> - подарки, праздники</t>
  </si>
  <si>
    <t>ПРИБЫЛЬ ДО НАЛОГООБЛОЖЕНИЯ</t>
  </si>
  <si>
    <t xml:space="preserve"> - чрезвычайные расходы</t>
  </si>
  <si>
    <t xml:space="preserve"> </t>
  </si>
  <si>
    <t>МАТЕРИАЛЬНАЯ ПОМОЩЬ ИЗ ПРИБЫЛИ ПРОШЛЫХ ЛЕТ (84.3 счет)</t>
  </si>
  <si>
    <t>ОСТАТОК СРЕДСТВ НА НАЧАЛО ПЕРИОДА</t>
  </si>
  <si>
    <t>КОД БК</t>
  </si>
  <si>
    <t>САЛЬДО НА НАЧАЛО</t>
  </si>
  <si>
    <t>ОЖИДАЕМАЯ ОПЛАТА</t>
  </si>
  <si>
    <t>ИТОГО ПОСТУПЛЕНИЙ ОТ ОСНОВНОЙ ДЕЯТЕЛЬНОСТИ</t>
  </si>
  <si>
    <t>ПОСТУПЛЕНИЯ КРЕДИТНЫХ СРЕДСТВ</t>
  </si>
  <si>
    <t>ПОСТУПЛЕНИЯ ЗАЙМОВ</t>
  </si>
  <si>
    <t>ПОСТУПЛЕНИЯ  ДОЛГОСРОЧНЫХ КРЕДИТНЫХ СРЕДСТВ</t>
  </si>
  <si>
    <t>ПОСТУПЛЕНИЯ ОТ РЕАЛИЗАЦИИ ОС И МАТЕРИАЛОВ</t>
  </si>
  <si>
    <t>СУБСИДИИ</t>
  </si>
  <si>
    <t xml:space="preserve"> - дотации по свиноводству , КРС</t>
  </si>
  <si>
    <t xml:space="preserve"> - компенсация процентной ставки пократкосрочным кредитам</t>
  </si>
  <si>
    <t>ПРОЧИЕ ПОСТУПЛЕНИЯ</t>
  </si>
  <si>
    <t xml:space="preserve">ИТОГО  ПРОЧИХ ПОСТУПЛЕНИЙ </t>
  </si>
  <si>
    <t>ВСЕГО ПОСТУПЛЕНИЙ</t>
  </si>
  <si>
    <t>ОПЛАТА МАТЕРИАЛЬНЫХ РАСХОДОВ</t>
  </si>
  <si>
    <t>ПРОЧИЕ ПОКУПНЫЕ КОРМА</t>
  </si>
  <si>
    <t>ВЕТПРЕПАРАТЫ</t>
  </si>
  <si>
    <t>ЭЛЕКТРОЭНЕРГИЯ</t>
  </si>
  <si>
    <t>ГАЗ</t>
  </si>
  <si>
    <t>ГАЗ СЖИЖЕННЫЙ</t>
  </si>
  <si>
    <t>ДИЗЕЛЬНОЕ ТОПЛИВО</t>
  </si>
  <si>
    <t>БЕНЗИН</t>
  </si>
  <si>
    <t>ПРОЧИЕ ГСМ</t>
  </si>
  <si>
    <t>КРС В ЖИВОМ ВЕСЕ НА ПЕРЕРАБОТКУ</t>
  </si>
  <si>
    <t>ВСПОМОГАТЕЛЬНЫЕ МАТЕРИАЛЫ</t>
  </si>
  <si>
    <t>ПРОЧИЕ МАТЕРИАЛЫ (КРОМЕ МАТЕРИАЛОВ ДЛЯ РЕМОНТА ОС)</t>
  </si>
  <si>
    <t xml:space="preserve"> - материалы для ремонта ОС</t>
  </si>
  <si>
    <t xml:space="preserve"> - запчасти для транспорта</t>
  </si>
  <si>
    <t>Управленческие услуги</t>
  </si>
  <si>
    <t>Реклама,проведение выставок</t>
  </si>
  <si>
    <t>ИТОГО ВЫПЛАТ ПО ОСНОВНОЙ ДЕЯТЕЛЬНОСТИ</t>
  </si>
  <si>
    <t>ИТОГО ВЫПЛАТ ПО ИНВЕСТИЦИОННОЙ ДЕЯТЕЛЬНОСТИ</t>
  </si>
  <si>
    <t>ВОЗВРАТ КРЕДИТНЫХ СРЕДСТВ</t>
  </si>
  <si>
    <t>ВОЗВРАТ ДОЛГОСРОЧНЫХ КРЕДИТНЫХ СРЕДСТВ</t>
  </si>
  <si>
    <t>ВЫПЛАТА ПРОЦЕНТОВ ПО КРЕДИТАМ,ЗАЙМАМ</t>
  </si>
  <si>
    <t>ВЫПЛАТА ПРОЦЕНТОВ ПО ДОЛГОСРОЧНЫМ КРЕДИТАМ</t>
  </si>
  <si>
    <t>НАЛОГИ</t>
  </si>
  <si>
    <t>ФИНАНСИРОВАНИЕ КАПИТАЛЬНЫХ ВЛОЖЕНИЙ</t>
  </si>
  <si>
    <t xml:space="preserve"> - компенсация путевок (в т.ч. Детского отдыха)</t>
  </si>
  <si>
    <t>ПЕНИ, ШТРАФЫ</t>
  </si>
  <si>
    <t>ВКЛАДЫ В УСТАВНЫЙ КАПИТАЛ ПРЕДПРИЯТИЙ ГРУППЫ</t>
  </si>
  <si>
    <t xml:space="preserve">ИТОГО ПРОЧИХ ВЫПЛАТ </t>
  </si>
  <si>
    <t>ВСЕГО ВЫПЛАТ</t>
  </si>
  <si>
    <t>СОВОКУПНЫЙ ДЕНЕЖНЫЙ ПОТОК</t>
  </si>
  <si>
    <t>ОСТАТОК СРЕДСТВ НА КОНЕЦ ПЕРИОДА</t>
  </si>
  <si>
    <t>всего кормов</t>
  </si>
  <si>
    <t>к.ед</t>
  </si>
  <si>
    <t>ст-ть кормов</t>
  </si>
  <si>
    <t>к.ед на  привес</t>
  </si>
  <si>
    <t>ст-ть к.ед.</t>
  </si>
  <si>
    <t>СК 1</t>
  </si>
  <si>
    <t>СК 2</t>
  </si>
  <si>
    <t>СК 4</t>
  </si>
  <si>
    <t>СК 5</t>
  </si>
  <si>
    <t>СК 6</t>
  </si>
  <si>
    <t>СК 7</t>
  </si>
  <si>
    <t xml:space="preserve"> к/корм с ккхп</t>
  </si>
  <si>
    <t>руб</t>
  </si>
  <si>
    <t>хряки пр</t>
  </si>
  <si>
    <t>св/м осн</t>
  </si>
  <si>
    <t>св/м пр</t>
  </si>
  <si>
    <t>итого</t>
  </si>
  <si>
    <t>откорм</t>
  </si>
  <si>
    <t>вид к/корма</t>
  </si>
  <si>
    <t>к.ед на кг корма</t>
  </si>
  <si>
    <t>всего цн к.ед</t>
  </si>
  <si>
    <t>итого комбикормов</t>
  </si>
  <si>
    <t>престартер</t>
  </si>
  <si>
    <t>прочие пок.</t>
  </si>
  <si>
    <t>Гранулированный корм</t>
  </si>
  <si>
    <t>ВСЕГО КОРМОВ</t>
  </si>
  <si>
    <t xml:space="preserve"> - гибель (падеж) скота</t>
  </si>
  <si>
    <t xml:space="preserve"> - содержание дома в Пушкино</t>
  </si>
  <si>
    <t>ВОЗВРАТ ЗАЙМОВ, ВЫДАЧА ЗАЙМОВ</t>
  </si>
  <si>
    <t xml:space="preserve"> -вознаграждение совета директоров</t>
  </si>
  <si>
    <t xml:space="preserve"> - дотации на племскот(диз.топл)</t>
  </si>
  <si>
    <t xml:space="preserve"> - возмещение убытков от гибели скота</t>
  </si>
  <si>
    <t>проч к/корм</t>
  </si>
  <si>
    <t>откорм. План</t>
  </si>
  <si>
    <t>Взр. скот на откорме  План</t>
  </si>
  <si>
    <t>гран. корм</t>
  </si>
  <si>
    <t xml:space="preserve">РАСХОД КОРМОВ ПО ВИДАМ </t>
  </si>
  <si>
    <t>тыс.р.</t>
  </si>
  <si>
    <t>ФАКТИЧЕСКАЯ ОПЛАТА</t>
  </si>
  <si>
    <t>пр. корма , тонн</t>
  </si>
  <si>
    <t>в том числе, тонн</t>
  </si>
  <si>
    <t xml:space="preserve"> - ПЕЛЬМЕНИ</t>
  </si>
  <si>
    <t xml:space="preserve"> - ФАРШИ</t>
  </si>
  <si>
    <t>0-1 мес. план</t>
  </si>
  <si>
    <t>1-3 мес. План</t>
  </si>
  <si>
    <t xml:space="preserve"> 0-1</t>
  </si>
  <si>
    <t xml:space="preserve"> 1-3</t>
  </si>
  <si>
    <t>рыбий жир</t>
  </si>
  <si>
    <t>ЗЦМ</t>
  </si>
  <si>
    <t>сах. песок</t>
  </si>
  <si>
    <t>САЛЬДО НА КОНЕЦ</t>
  </si>
  <si>
    <t xml:space="preserve"> - иные платежи из прибыли (налог на землю)</t>
  </si>
  <si>
    <t>ИСКЛЮЧАЕМАЯ ПРОДУКЦИЯ (НАВОЗ)</t>
  </si>
  <si>
    <t>ДЛЯ РАСЧЕТА СЕБЕСТОИМОСТИ ПРИРОСТА</t>
  </si>
  <si>
    <t>ДРУГИЕ СЧЕТА</t>
  </si>
  <si>
    <t xml:space="preserve"> - ПОЛУКОПЧЕНЫЕ КОЛБАСЫ</t>
  </si>
  <si>
    <t xml:space="preserve"> - СОСИСКИ, САРДЕЛЬКИ</t>
  </si>
  <si>
    <t xml:space="preserve"> - ДЕЛИКАТЕСЫ</t>
  </si>
  <si>
    <t xml:space="preserve"> - ПРОЧИЕ (ШПИК, ПАШТЕТ, ЛИВ.КОЛБ)</t>
  </si>
  <si>
    <t>ИЗ НИХ - ВАРЕНЫЕ КОЛБАСЫ</t>
  </si>
  <si>
    <t xml:space="preserve"> в т.ч. Цех по приг.экструдиров. кормов</t>
  </si>
  <si>
    <t>ПОСТУПЛЕНИЯ ОТ РЕАЛИЗАЦИИ КОЛБАСНЫХ ИЗДЕЛИЙ,ПОЛУФАБРИКАТОВ,  МЯСА, СУБПРОДУКТОВ, ВЫРЕЗКИ, МЯСОПРОДУКТОВ ДЛЯ ЖИВОТНЫХ</t>
  </si>
  <si>
    <t>ПОСТУПЛЕНИЯ ОТ РЕАЛИЗАЦИИ ШКУР</t>
  </si>
  <si>
    <t>ПОСТУПЛЕНИЯ ОТ РЕАЛИЗАЦИИ ПОГОЛОВЬЯ СВИНЕЙ В ЖИВОМ ВЕСЕ</t>
  </si>
  <si>
    <t>ПОСТУПЛЕНИЯ ОТ АРЕНДЫ ОС</t>
  </si>
  <si>
    <t>ПОСТУПЛЕНИЯ ОТ РЕАЛИЗАЦИИ ПРОЧЕЙ ПРОДУКЦИИ</t>
  </si>
  <si>
    <t>ПОСТУПЛЕНИЯ ОТ РЕАЛИЗАЦИИ УСЛУГ</t>
  </si>
  <si>
    <t xml:space="preserve"> - Налог на прибыль</t>
  </si>
  <si>
    <t xml:space="preserve"> - П/Ф РУБЛЕННЫЕ</t>
  </si>
  <si>
    <t>без раст</t>
  </si>
  <si>
    <t>затраты для распределения</t>
  </si>
  <si>
    <t>для распеделения</t>
  </si>
  <si>
    <t>хряки</t>
  </si>
  <si>
    <t>свиноматки основные</t>
  </si>
  <si>
    <t>свиноматки проверяемые</t>
  </si>
  <si>
    <t>ремонт</t>
  </si>
  <si>
    <t>поросята 0-1</t>
  </si>
  <si>
    <t>поросята 1-3</t>
  </si>
  <si>
    <t>Свиноводство в целом</t>
  </si>
  <si>
    <t>валовый прирост</t>
  </si>
  <si>
    <t>СЕБЕСТОИМОСТЬ 1 КОРМОДНЯ</t>
  </si>
  <si>
    <t>в т.ч. Промышленное производство</t>
  </si>
  <si>
    <t>затраты для распределения 25,26 счетов</t>
  </si>
  <si>
    <t>ОСНОВНОЕ СТАДО</t>
  </si>
  <si>
    <t xml:space="preserve"> - П/Ф ФАРШИРОВАННЫЕ</t>
  </si>
  <si>
    <t>рем.мастерские сч23,1</t>
  </si>
  <si>
    <t>ремонт зданий, соор. Сч23,2</t>
  </si>
  <si>
    <t>МТП сч23,3</t>
  </si>
  <si>
    <t>автопарк сч 23,4</t>
  </si>
  <si>
    <t>электроснабжение  сч23,5</t>
  </si>
  <si>
    <t>водоснабжение сч23,6</t>
  </si>
  <si>
    <t>теплоснабжение сч23,7</t>
  </si>
  <si>
    <t>ИТОГО ПО 23 СЧЕТУ</t>
  </si>
  <si>
    <t>сч25,2 живот-во</t>
  </si>
  <si>
    <t>ИТОГО ПО 25 СЧЕТУ</t>
  </si>
  <si>
    <t>29 счет</t>
  </si>
  <si>
    <t>44 счет</t>
  </si>
  <si>
    <t>ИТОГО ЗАТРАТ</t>
  </si>
  <si>
    <t>груз. машины</t>
  </si>
  <si>
    <t>спец машины</t>
  </si>
  <si>
    <t xml:space="preserve"> итого по автопарку</t>
  </si>
  <si>
    <t>23 счет</t>
  </si>
  <si>
    <t>25 счет</t>
  </si>
  <si>
    <t>26 счет</t>
  </si>
  <si>
    <t>ЗАТРАТЫ  ВСПОМОГАТЕЛЬНОГО ПРОИЗВОДСТВА</t>
  </si>
  <si>
    <t xml:space="preserve"> в т.ч. рем.мастерские сч 23.1</t>
  </si>
  <si>
    <t xml:space="preserve"> в т.ч. ремонт зданий, соор. Сч 23.2</t>
  </si>
  <si>
    <t xml:space="preserve"> в т.ч.МТП сч 23.3</t>
  </si>
  <si>
    <t xml:space="preserve"> в т.ч. автопарк сч 23.4</t>
  </si>
  <si>
    <t xml:space="preserve"> в т.ч. электроснабжение сч 23.5</t>
  </si>
  <si>
    <t xml:space="preserve"> в т.ч. водоснабжение сч 23.6</t>
  </si>
  <si>
    <t xml:space="preserve"> в т.ч. теплоснабжение сч 23.7</t>
  </si>
  <si>
    <t xml:space="preserve"> в т.ч. очисные сооружения сч.23.8</t>
  </si>
  <si>
    <t xml:space="preserve"> в т.ч. холодильное оборудование сч.23.9</t>
  </si>
  <si>
    <t>ЗАТРАТЫ ОБСЛУЖИВАЮЩЕГО ПРОИЗВОДСТВА</t>
  </si>
  <si>
    <t>РАСПРЕДЕЛЕНИЕ ЗАТРАТ</t>
  </si>
  <si>
    <t xml:space="preserve"> НА ОСНОВНОЕ ПРОИЗВОДСТВО</t>
  </si>
  <si>
    <t xml:space="preserve"> НА ПРОМЫШЛЕННЫЕ ПРОИЗ-ВА</t>
  </si>
  <si>
    <t xml:space="preserve"> в т.ч. Убойный цех</t>
  </si>
  <si>
    <t>в т.ч. Производство колбас</t>
  </si>
  <si>
    <t xml:space="preserve"> в т.ч. Мясоперерабатывающий</t>
  </si>
  <si>
    <t>в т.ч. Цех по приготовлению гран.кормов</t>
  </si>
  <si>
    <t xml:space="preserve"> в т.ч.  Весь автопарк сч 23.4</t>
  </si>
  <si>
    <t xml:space="preserve"> НА ОБЩЕПРОИЗВОДСТВЕННЫЕ РАСХОДЫ сч 25</t>
  </si>
  <si>
    <t>НА ОБЩЕХОЗЯЙСТВЕННЫЕ РАСХОДЫ сч 26</t>
  </si>
  <si>
    <t>НА ОБСЛУЖИВАЮЩИЕ ПРОИЗВОДСТВА сч 29</t>
  </si>
  <si>
    <t>НА КОММЕРЧЕСКИЕ РАСХОДЫ сч 44</t>
  </si>
  <si>
    <t>ПРОЧИЕ СЧЕТА</t>
  </si>
  <si>
    <t>себестоимость единицы</t>
  </si>
  <si>
    <t>количество единиц</t>
  </si>
  <si>
    <t>итого: Основное стадо свиней</t>
  </si>
  <si>
    <t>итого Свиньи на выращивании и откорме</t>
  </si>
  <si>
    <t>Минеральные  удобрения</t>
  </si>
  <si>
    <t>Органические удобрения</t>
  </si>
  <si>
    <t>0-1</t>
  </si>
  <si>
    <t>1-3</t>
  </si>
  <si>
    <t xml:space="preserve"> - прочие </t>
  </si>
  <si>
    <r>
      <t xml:space="preserve">ПРОЧИЕ ВЫПЛАТЫ </t>
    </r>
    <r>
      <rPr>
        <sz val="6"/>
        <rFont val="Arial Cyr"/>
        <family val="2"/>
        <charset val="204"/>
      </rPr>
      <t>(Пушкино,Совет директоров)</t>
    </r>
  </si>
  <si>
    <t>с/м осн</t>
  </si>
  <si>
    <t>с/м пров</t>
  </si>
  <si>
    <t>ЗАТРАТЫ НА КОРМА ПЛАН</t>
  </si>
  <si>
    <t>по привесам</t>
  </si>
  <si>
    <t>по кормам</t>
  </si>
  <si>
    <t xml:space="preserve">НАЧИСЛЕНО ПО БЮДЖЕТУ  </t>
  </si>
  <si>
    <t>Шувалово-2</t>
  </si>
  <si>
    <t xml:space="preserve"> в т.ч. Свиноводство Шувалово-1</t>
  </si>
  <si>
    <t>ПРОИЗВОДСТВЕННЫЕ ПОКАЗАТЕЛИ СВИНОВОДСТВА ШУВАЛОВО-1</t>
  </si>
  <si>
    <t>ПРОИЗВОДСТВЕННЫЕ ПОКАЗАТЕЛИ СВИНОВОДСТВА ШУВАЛОВО-2</t>
  </si>
  <si>
    <t>Шувалово-1</t>
  </si>
  <si>
    <t>Шувалово-3</t>
  </si>
  <si>
    <t>ИТОГО по 23,5сч</t>
  </si>
  <si>
    <t>ИТОГО по 23,6сч</t>
  </si>
  <si>
    <t>всего к.ед/ стоимость к.ед.</t>
  </si>
  <si>
    <t>ФАКТИЧЕСКИЙ РАСХОД КОРМОВ</t>
  </si>
  <si>
    <t>всего к.ед/стоимость к.ед.</t>
  </si>
  <si>
    <t>СК 3</t>
  </si>
  <si>
    <t>переведено с других ферм</t>
  </si>
  <si>
    <t>переведено на другие фермы</t>
  </si>
  <si>
    <t>ДВИЖЕНИЕ СКОТА ПО ФЕРМЕ ШУВАЛОВО-2</t>
  </si>
  <si>
    <t>ДВИЖЕНИЕ СКОТА ПО ФЕРМЕ ШУВАЛОВО-3</t>
  </si>
  <si>
    <t>ИТОГО ФАКТ Ш-2</t>
  </si>
  <si>
    <t>ИТОГО ПЛАН ш-2</t>
  </si>
  <si>
    <t>ЗАТРАТЫ НА КОРМА  ШУВАЛОВО-2 ПЛАН</t>
  </si>
  <si>
    <t>ЗАТРАТЫ НА КОРМА  ШУВАЛОВО-3 ПЛАН</t>
  </si>
  <si>
    <t>ФАКТИЧЕСКИЙ РАСХОД КОРМОВ ШУВАЛОВО-2</t>
  </si>
  <si>
    <t>РСУ</t>
  </si>
  <si>
    <t>СМТП</t>
  </si>
  <si>
    <t>Микроклимат</t>
  </si>
  <si>
    <t>Электроцех</t>
  </si>
  <si>
    <t>Служба сетей</t>
  </si>
  <si>
    <t>ИТОГО по 23,2сч</t>
  </si>
  <si>
    <t>Шувалово-3 (откорм)</t>
  </si>
  <si>
    <t xml:space="preserve">               - РСУ</t>
  </si>
  <si>
    <t xml:space="preserve">               - СМТП</t>
  </si>
  <si>
    <t xml:space="preserve">               - Микроклимат</t>
  </si>
  <si>
    <t xml:space="preserve">               - электроцех</t>
  </si>
  <si>
    <t xml:space="preserve">               -  служба сетей</t>
  </si>
  <si>
    <t xml:space="preserve">             -  Грузовые машины</t>
  </si>
  <si>
    <t xml:space="preserve">             - Автобусы</t>
  </si>
  <si>
    <t xml:space="preserve">             - Спецмашины</t>
  </si>
  <si>
    <t>итого свиноводство Шувалово-2</t>
  </si>
  <si>
    <t>служба безопасности</t>
  </si>
  <si>
    <t>ШУВАЛОВО-2
 в целом</t>
  </si>
  <si>
    <t>ШУВАЛОВО-3
(откорм)</t>
  </si>
  <si>
    <t>в т.ч.  Свиноводство Шувалово-2</t>
  </si>
  <si>
    <t>в т.ч. Свиноводство Шувалово-3</t>
  </si>
  <si>
    <t xml:space="preserve"> в т.ч Экспедиция</t>
  </si>
  <si>
    <t xml:space="preserve"> в т.ч. МПЦ</t>
  </si>
  <si>
    <t xml:space="preserve"> в т.ч. Цех фасовки</t>
  </si>
  <si>
    <t>в т.ч.  25 животноводство Шувалово-1</t>
  </si>
  <si>
    <t>в т.ч.  25 животноводство Шувалово-2</t>
  </si>
  <si>
    <t>В Т.Ч. БАНК</t>
  </si>
  <si>
    <t>В Т.Ч. КАССА</t>
  </si>
  <si>
    <t xml:space="preserve"> ОПЛАТА</t>
  </si>
  <si>
    <t>хозяйственные расходы</t>
  </si>
  <si>
    <t>сч 26 общ.затр</t>
  </si>
  <si>
    <t>ИТОГО ПО 26 СЧЕТУ</t>
  </si>
  <si>
    <t>ПРОИЗВОДСТВЕННЫЕ ПОКАЗАТЕЛИ СВИНОВОДСТВА ШУВАЛОВО-3</t>
  </si>
  <si>
    <t xml:space="preserve">СРЕДНЕСУТОЧНЫЙ ПРИВЕС </t>
  </si>
  <si>
    <t xml:space="preserve">ПОКАЗАТЕЛИ РАСХОДОВ НА ОСНОВНОЕ СЫРЬЕ </t>
  </si>
  <si>
    <t>ПРОИЗВОДСТВО ПРОДУКЦИИ МПЦ</t>
  </si>
  <si>
    <t xml:space="preserve"> в т.ч. Свиньи на выращ и откорме </t>
  </si>
  <si>
    <t>зплата с отч</t>
  </si>
  <si>
    <t>вспом пр</t>
  </si>
  <si>
    <t>общехоз</t>
  </si>
  <si>
    <t>прочие</t>
  </si>
  <si>
    <t xml:space="preserve">СВИНЬИ НА ВЫРАЩИВАНИИ </t>
  </si>
  <si>
    <t>в т.ч. Промышленное производство (гран корм)</t>
  </si>
  <si>
    <t>содерж. легкового тр-та</t>
  </si>
  <si>
    <t xml:space="preserve"> КОЛБАСНЫЕ ИЗДЕЛИЯ</t>
  </si>
  <si>
    <t xml:space="preserve"> ПОЛУФАБРИКАТЫ </t>
  </si>
  <si>
    <t>КОЛБАСНЫЕ ИЗДЕЛИЯ</t>
  </si>
  <si>
    <t xml:space="preserve">ПОЛУФАБРИКАТЫ </t>
  </si>
  <si>
    <t>КОСТЬ ПИЩЕВАЯ</t>
  </si>
  <si>
    <t xml:space="preserve">РАСХОДЫ НА КОРМА ДЛЯ СВИНОВОДСТВА </t>
  </si>
  <si>
    <t xml:space="preserve">в т.ч. комбикорма с ККЗ для свиноводства  Шувалово-1 </t>
  </si>
  <si>
    <t>в т.ч. комбикорма с ККЗ для  Шувалово-2</t>
  </si>
  <si>
    <t>в т.ч. комбикорма с ККЗ для  Шувалово-3</t>
  </si>
  <si>
    <t>Всего комбикорма с ККЗ</t>
  </si>
  <si>
    <t>ПРОЦЕНТ ОПЛАТЫ ПОЛУЧЕННОГО  СЫРЬЯ С ККЗ</t>
  </si>
  <si>
    <t>ЗАДОЛЖЕННОСТЬ ПЕРЕД ККЗ</t>
  </si>
  <si>
    <t>ср.вес кг</t>
  </si>
  <si>
    <t>СНЯТО С ОТКОРМА</t>
  </si>
  <si>
    <t>САНИТАРНЫЙ БРАК</t>
  </si>
  <si>
    <t>прочие в специях</t>
  </si>
  <si>
    <t>ПЕРЕДАНО ПОРОСЯТ 1-3 МЕС С  ШУВАЛОВО-2</t>
  </si>
  <si>
    <t>Комбикорма с ККЗ</t>
  </si>
  <si>
    <t>Комбикорм с ККЗ</t>
  </si>
  <si>
    <t>КОМБИКОРМА С ККЗ</t>
  </si>
  <si>
    <t>к/к с ККЗ</t>
  </si>
  <si>
    <t>ПРОДУКЦИЯ МПЦ</t>
  </si>
  <si>
    <t>ИТОГО ПЛАНОВЫХ ЗАТРАТ БЕЗ НДС</t>
  </si>
  <si>
    <t>ИТОГО ПЛАНОВЫХ ЗАТРАТ С НДС</t>
  </si>
  <si>
    <t>ВОЗМЕЩЕНИЕ НДС</t>
  </si>
  <si>
    <t>ПОКЗАТЕЛИ РЕАЛИЗАЦИИ С НДС</t>
  </si>
  <si>
    <t>СК 11</t>
  </si>
  <si>
    <t>МЯСО СВИНИНА (КРУПНЫЙ КУСОК)</t>
  </si>
  <si>
    <t>МЯСО СВИНИНА (ПОЛУТУШИ)</t>
  </si>
  <si>
    <t>МЯСО ГОВЯДИНА (РУЛЬКИ, ГОЛЯШКИ)</t>
  </si>
  <si>
    <t>рем хрячки. план</t>
  </si>
  <si>
    <t>ремонт  свой план</t>
  </si>
  <si>
    <t>ремонт  покуп. план</t>
  </si>
  <si>
    <t xml:space="preserve">рем хрячки </t>
  </si>
  <si>
    <t>ремонт  свой</t>
  </si>
  <si>
    <t>ремонт  покупной</t>
  </si>
  <si>
    <t xml:space="preserve">МЯСО СВИНИНА (РУЛЬКИ, ЖИЛОВ. СВИН.), </t>
  </si>
  <si>
    <t>МЯСО СВИНИНА (РУЛЬКИ,ЖИЛОВ.СВИН.)</t>
  </si>
  <si>
    <t xml:space="preserve">Услуги сторонних организаций </t>
  </si>
  <si>
    <t>РЕАЛИЗАЦИЯ МЯСА СВИНИНЫ В ПОЛУТУШАХ</t>
  </si>
  <si>
    <t>ПРИБЫЛЬ ОТ РЕАЛИЗАЦИИ МЯСА СВИНИНЫ В ПОЛУТУШАХ</t>
  </si>
  <si>
    <t>РЕАЛИЗАЦИЯ МЯСА СВИНИНЫ КРУПНЫЙ КУСОК</t>
  </si>
  <si>
    <t>ПРИБЫЛЬ ОТ РЕАЛИЗАЦИИ МЯСА СВИНИНЫ КРУПНЫЙ КУСОК</t>
  </si>
  <si>
    <t>РЕАЛИЗАЦИЯ ПРОДУКЦИИ МПЦ</t>
  </si>
  <si>
    <t>ПРИБЫЛЬ ОТ РЕАЛИЗАЦИИ ПРОДУКЦИИ МПЦ</t>
  </si>
  <si>
    <t>ВЫРУЧКА ОТ ПРОЧЕЙ РЕАЛИЗАЦИИ</t>
  </si>
  <si>
    <t>СЕБЕСТОИМОСТЬ  ПРОЧЕЙ РЕАЛИЗАЦИИ</t>
  </si>
  <si>
    <t xml:space="preserve"> ИЗ НИХ- П/Ф КУСКОВЫЕ НАТУР.</t>
  </si>
  <si>
    <t>себ падежа</t>
  </si>
  <si>
    <t>1кг</t>
  </si>
  <si>
    <t>сумма</t>
  </si>
  <si>
    <t>пров.св</t>
  </si>
  <si>
    <r>
      <t xml:space="preserve">КАПИТАЛЬНЫЕ ЗАТРАТЫ </t>
    </r>
    <r>
      <rPr>
        <b/>
        <sz val="7"/>
        <rFont val="Arial Cyr"/>
        <family val="2"/>
        <charset val="204"/>
      </rPr>
      <t>(финансирование капвложений)</t>
    </r>
  </si>
  <si>
    <r>
      <t xml:space="preserve">КАПИТАЛЬНЫЕ ЗАТРАТЫ  ЗА СЧЕТ ИНВЕСТИЦИЙ </t>
    </r>
    <r>
      <rPr>
        <b/>
        <sz val="7"/>
        <rFont val="Arial Cyr"/>
        <family val="2"/>
        <charset val="204"/>
      </rPr>
      <t>МПЦ</t>
    </r>
  </si>
  <si>
    <r>
      <t xml:space="preserve">КАПИТАЛЬНЫЕ ЗАТРАТЫ  ЗА СЧЕТ ИНВЕСТИЦИЙ </t>
    </r>
    <r>
      <rPr>
        <b/>
        <sz val="7"/>
        <rFont val="Arial Cyr"/>
        <family val="2"/>
        <charset val="204"/>
      </rPr>
      <t>Слобода</t>
    </r>
  </si>
  <si>
    <t>план</t>
  </si>
  <si>
    <t>отклонение</t>
  </si>
  <si>
    <t>кормодни план</t>
  </si>
  <si>
    <t>кормодни факт</t>
  </si>
  <si>
    <t>кормодни отклонение</t>
  </si>
  <si>
    <t>валовый прирост план</t>
  </si>
  <si>
    <t>валовый прирост факт</t>
  </si>
  <si>
    <t>валовый прирост отклонение</t>
  </si>
  <si>
    <t>АМОРТИЗАЦИЯ</t>
  </si>
  <si>
    <t xml:space="preserve">в т.ч. Промышленное производство </t>
  </si>
  <si>
    <t>тыс.литр</t>
  </si>
  <si>
    <t>08 счет</t>
  </si>
  <si>
    <t>10 счет</t>
  </si>
  <si>
    <t>11 счет</t>
  </si>
  <si>
    <t>43 счет</t>
  </si>
  <si>
    <t>62 счет</t>
  </si>
  <si>
    <t>76 счет</t>
  </si>
  <si>
    <t>90 счет</t>
  </si>
  <si>
    <t>91 счет</t>
  </si>
  <si>
    <t>Комбикорм с ККХП</t>
  </si>
  <si>
    <t>ИОГО
 ПЛАНОВЫХ ЗАТРАТ</t>
  </si>
  <si>
    <t xml:space="preserve"> -КОТЛЕТНОЕ МЯСО</t>
  </si>
  <si>
    <t>Услуги сторонних организаций  (кроме ремонта  ОС)</t>
  </si>
  <si>
    <t>Услуги сторонних организаций (кроме ремонта  ОС)</t>
  </si>
  <si>
    <t>участок крупного куска</t>
  </si>
  <si>
    <t>в т.ч. Участок крупного куска</t>
  </si>
  <si>
    <t xml:space="preserve">РЕАЛИЗАЦИЯ </t>
  </si>
  <si>
    <t>мел</t>
  </si>
  <si>
    <t>СВИНОКОМПЛЕКС "СЛОБОДА"</t>
  </si>
  <si>
    <t>79 счет</t>
  </si>
  <si>
    <t xml:space="preserve"> в т.ч. утилизация сч 23.11</t>
  </si>
  <si>
    <t>коровы-корм. План</t>
  </si>
  <si>
    <t>ДВИЖЕНИЕ СКОТА ПО ЦЕХУ КРС</t>
  </si>
  <si>
    <t>КК 60</t>
  </si>
  <si>
    <t>КК 62</t>
  </si>
  <si>
    <t>КК 63</t>
  </si>
  <si>
    <t>патока</t>
  </si>
  <si>
    <t>МТ (зеленка)</t>
  </si>
  <si>
    <t>силос</t>
  </si>
  <si>
    <t>сено</t>
  </si>
  <si>
    <t>соль</t>
  </si>
  <si>
    <t>коровы-кормил</t>
  </si>
  <si>
    <t>коровы</t>
  </si>
  <si>
    <t>нетели</t>
  </si>
  <si>
    <t xml:space="preserve">тел. 14 г. </t>
  </si>
  <si>
    <t xml:space="preserve">быч. 14 г. </t>
  </si>
  <si>
    <t xml:space="preserve">тел. 15 г. </t>
  </si>
  <si>
    <t xml:space="preserve">быч. 15 г. </t>
  </si>
  <si>
    <t>коровы-корм</t>
  </si>
  <si>
    <t>прочие корма</t>
  </si>
  <si>
    <t>молоко</t>
  </si>
  <si>
    <t>объем, тонн</t>
  </si>
  <si>
    <t>яровые</t>
  </si>
  <si>
    <t>зеленая масса МТ</t>
  </si>
  <si>
    <t>растениеводство</t>
  </si>
  <si>
    <t>МОЛОКО</t>
  </si>
  <si>
    <t>ПРИБЫЛЬ ОТ РЕАЛИЗАЦИИ МОЛОКА</t>
  </si>
  <si>
    <t>РЕАЛИЗАЦИЯ МОЛОКА</t>
  </si>
  <si>
    <t>ПОСТУПЛЕНИЯ ОТ РЕАЛИЗАЦИИ МОЛОКА</t>
  </si>
  <si>
    <t>ЛИЗИНГ</t>
  </si>
  <si>
    <t xml:space="preserve"> к/корм с ККЗ</t>
  </si>
  <si>
    <t>утилизация сч 23.11</t>
  </si>
  <si>
    <t>КРС</t>
  </si>
  <si>
    <t>РАСТЕНИЕВОДСТВО</t>
  </si>
  <si>
    <t>НАДОЙ план</t>
  </si>
  <si>
    <t>НАДОЙ отклонение</t>
  </si>
  <si>
    <t>НАДОЙ факт</t>
  </si>
  <si>
    <t>ИТОГО по 23.7 сч</t>
  </si>
  <si>
    <t>очисные сооружения сч 23.8</t>
  </si>
  <si>
    <t>холод. оборудование сч 23.9</t>
  </si>
  <si>
    <t>сч 25.1 КРС</t>
  </si>
  <si>
    <t>итого Шувалово-1</t>
  </si>
  <si>
    <t xml:space="preserve"> - хряки</t>
  </si>
  <si>
    <t xml:space="preserve"> - свиноматки основные</t>
  </si>
  <si>
    <t xml:space="preserve"> - свиноматки проверяемые</t>
  </si>
  <si>
    <t xml:space="preserve"> - поросята 0-1</t>
  </si>
  <si>
    <t xml:space="preserve"> - ремонт</t>
  </si>
  <si>
    <t xml:space="preserve"> - поросята 1-3</t>
  </si>
  <si>
    <t xml:space="preserve"> - откорм</t>
  </si>
  <si>
    <t xml:space="preserve"> -ремонт</t>
  </si>
  <si>
    <t xml:space="preserve"> -поросята 1-3</t>
  </si>
  <si>
    <t xml:space="preserve">  - свиноматки основные</t>
  </si>
  <si>
    <t>в т.ч. Откорм КРС</t>
  </si>
  <si>
    <t>в т.ч. Молоко</t>
  </si>
  <si>
    <t>в т.ч. Растениеводство</t>
  </si>
  <si>
    <t>СВИНЬИ НА ВЫРАЩИВАНИИ И ОТКОРМЕ</t>
  </si>
  <si>
    <t>ДВИЖЕНИЕ СКОТА ПО ЦЕХУ СВИНОВОДСТВА ШУВАЛОВО-1</t>
  </si>
  <si>
    <t>св/м осн.план</t>
  </si>
  <si>
    <t>ремонт  план</t>
  </si>
  <si>
    <t xml:space="preserve">ремонт </t>
  </si>
  <si>
    <t>с/ть 1 кг</t>
  </si>
  <si>
    <t>отчисления ЕСН</t>
  </si>
  <si>
    <t>Откорм КРС</t>
  </si>
  <si>
    <t>Молоко</t>
  </si>
  <si>
    <t>Растениеводство</t>
  </si>
  <si>
    <t>в т.ч.  Свиноводство Шувалово-1</t>
  </si>
  <si>
    <t>в т.ч. Животноводство КРС</t>
  </si>
  <si>
    <t>ИСКЛЮЧАЕМАЯ ПРОДУКЦИЯ (навоз, приплод)</t>
  </si>
  <si>
    <t xml:space="preserve"> в т.ч. 25 КРС</t>
  </si>
  <si>
    <t>ОПЛАТА СВИНЕЙ ШУВАЛОВО-4</t>
  </si>
  <si>
    <t>ФАКТИЧЕСКИЙ РАСХОД КОРМОВ ШУВАЛОВО-3</t>
  </si>
  <si>
    <t xml:space="preserve"> в т.ч. КРС</t>
  </si>
  <si>
    <t xml:space="preserve">тел. 16 г. </t>
  </si>
  <si>
    <t xml:space="preserve">быч. 16 г. </t>
  </si>
  <si>
    <t>прочие корма , тонн</t>
  </si>
  <si>
    <t>84 счет</t>
  </si>
  <si>
    <t xml:space="preserve">ИТОГО ФАКТИЧЕСКИХ ЗАТРАТ </t>
  </si>
  <si>
    <t xml:space="preserve">Осеменено </t>
  </si>
  <si>
    <t xml:space="preserve">Опоросы </t>
  </si>
  <si>
    <t xml:space="preserve"> КРС</t>
  </si>
  <si>
    <t>в т.ч. комбикорма с ККЗ для  КРС</t>
  </si>
  <si>
    <t>ПОСТУПЛЕНИЕ РЕМОНТНОГО МОЛОДНЯКА</t>
  </si>
  <si>
    <t>в т.ч.  КРС</t>
  </si>
  <si>
    <t xml:space="preserve"> ПОКАЗАТЕЛИ РЕАЛИЗАЦИИ ПРОДУКЦИИ</t>
  </si>
  <si>
    <t xml:space="preserve"> ПРОИЗВОДСТВЕННЫЕ ПОКАЗАТЕЛИ</t>
  </si>
  <si>
    <t>ПРОИЗВОДСТВЕННЫЕ ПОКАЗАТЕЛИ</t>
  </si>
  <si>
    <t xml:space="preserve">ФАКТИЧЕСКИЕ ЗАТРАТЫ  ПРОИЗВОДСТВА И СЕБЕСТОИМОСТЬ </t>
  </si>
  <si>
    <t xml:space="preserve">ФАКТИЧЕСКИЕ ЗАТРАТЫ  ПРОИЗВОДСТВА И СЕБЕСТОИМОСТИ ШУВАЛОВО-2 И ШУВАЛОВО-3 </t>
  </si>
  <si>
    <t>ФАКТИЧЕСКИЕ  ЗАТРАТЫ  ПРОИЗВОДСТВА И СЕБЕСТОИМОСТИ НА КРС</t>
  </si>
  <si>
    <t>ФАКТИЧЕСКИЕ ЗАТРАТЫ И СЕБЕСТОИМОСТЬ В ПРОМЫШЛЕННОМ ПРОИЗВОДСТВЕ</t>
  </si>
  <si>
    <t>затраты вспомогательных подразделений</t>
  </si>
  <si>
    <t>СВОДНЫЕ ПОКАЗАТЕЛИ</t>
  </si>
  <si>
    <t>ПЛАНОВЫЕ затраты вспомогательных подразделений</t>
  </si>
  <si>
    <t>ПЛАНОВЫЕ ЗАТРАТЫ  ПРОИЗВОДСТВА И СЕБЕСТОИМОСТЬ КРС</t>
  </si>
  <si>
    <t>ПЛАНОВЫЕ ЗАТРАТЫ  ПРОИЗВОДСТВА И СЕБЕСТОИМОСТЬ ШУВАЛОВО-1</t>
  </si>
  <si>
    <t>ПЛАНОВЫЕ ЗАТРАТЫ  ПРОИЗВОДСТВА И СЕБЕСТОИМОСТЬ ШУВАЛОВО-2,3</t>
  </si>
  <si>
    <t>ПЛАНОВЫЕ ЗАТРАТЫ И СЕБЕСТОИМОСТЬ В ПРОМЫШЛЕННОМ ПРОИЗВОДСТВЕ</t>
  </si>
  <si>
    <t xml:space="preserve">ПЛАНОВЫЕ ЗАТРАТЫ  ПРОИЗВОДСТВА И СЕБЕСТОИМОСТЬ </t>
  </si>
  <si>
    <t xml:space="preserve">БЮДЖЕТ ДВИЖЕНИЯ ДЕНЕЖНЫХ СРЕДСТВ </t>
  </si>
  <si>
    <t xml:space="preserve">БЮДЖЕТ ДОХОДОВ И РАСХОДОВ </t>
  </si>
  <si>
    <t xml:space="preserve"> - резервы по отпускам, сомнительным долгам</t>
  </si>
  <si>
    <t>КРС в целом</t>
  </si>
  <si>
    <t>ТУШЕНКА</t>
  </si>
  <si>
    <t>ШКУРЫ КРС И СВИНЫЕ</t>
  </si>
  <si>
    <t>тыс. шт</t>
  </si>
  <si>
    <t>РЕАЛИЗАЦИЯ ТУШЕНКИ</t>
  </si>
  <si>
    <t>ПРИБЫЛЬ ОТ РЕАЛИЗАЦИИ ТУШЕНКИ</t>
  </si>
  <si>
    <t>НЕПРЕДВИДЕННЫЕ РАСХОДЫ (тушенка)</t>
  </si>
  <si>
    <t>КАПВЛОЖЕНИЯ  МПЦ (реконструкция и оборудование)</t>
  </si>
  <si>
    <t>МОДЕРНИЗАЦИЯ МТФ</t>
  </si>
  <si>
    <t>МИНЕРАЛЬНЫЕ УДОБРЕНИЯ</t>
  </si>
  <si>
    <t>отруби</t>
  </si>
  <si>
    <t>Прочие расходы (падеж)</t>
  </si>
  <si>
    <t xml:space="preserve"> - услуги банков, страхование залогов</t>
  </si>
  <si>
    <t>ПОСТУПЛЕНИЯ от СЛОБОДЫ</t>
  </si>
  <si>
    <t xml:space="preserve">Итого пром. пр-во </t>
  </si>
  <si>
    <t>Участок крупного куска</t>
  </si>
  <si>
    <t>Аренда помещений, земли, оборудования</t>
  </si>
  <si>
    <t>СЕМЕННОЙ МАТЕРИАЛ</t>
  </si>
  <si>
    <t>МЯСО КУР</t>
  </si>
  <si>
    <t>КОНСЕРВАНТЫ АИВ, ПЕСТИЦИДЫ</t>
  </si>
  <si>
    <t xml:space="preserve"> реализовано/перевод на ш-2</t>
  </si>
  <si>
    <t>сухое молоко</t>
  </si>
  <si>
    <t>ОЗИМЫЕ</t>
  </si>
  <si>
    <t>прочие выбытие</t>
  </si>
  <si>
    <t>- прочие доходы при передаче в УК</t>
  </si>
  <si>
    <t xml:space="preserve"> - передача отклонений при исчислении с/с от филиала</t>
  </si>
  <si>
    <t xml:space="preserve"> - прочие доходы/расходы при передачи в УК</t>
  </si>
</sst>
</file>

<file path=xl/styles.xml><?xml version="1.0" encoding="utf-8"?>
<styleSheet xmlns="http://schemas.openxmlformats.org/spreadsheetml/2006/main">
  <numFmts count="7">
    <numFmt numFmtId="43" formatCode="_-* #,##0.00_р_._-;\-* #,##0.00_р_._-;_-* &quot;-&quot;??_р_._-;_-@_-"/>
    <numFmt numFmtId="164" formatCode="0.000"/>
    <numFmt numFmtId="165" formatCode="0.0"/>
    <numFmt numFmtId="166" formatCode="#,##0.0"/>
    <numFmt numFmtId="167" formatCode="#,##0.00000"/>
    <numFmt numFmtId="168" formatCode="0.0000"/>
    <numFmt numFmtId="169" formatCode="#,##0.000"/>
  </numFmts>
  <fonts count="80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charset val="204"/>
    </font>
    <font>
      <b/>
      <sz val="6"/>
      <name val="Arial Cyr"/>
      <charset val="204"/>
    </font>
    <font>
      <i/>
      <sz val="8"/>
      <name val="Arial Cyr"/>
      <family val="2"/>
      <charset val="204"/>
    </font>
    <font>
      <b/>
      <i/>
      <sz val="8"/>
      <name val="Arial Cyr"/>
      <family val="2"/>
      <charset val="204"/>
    </font>
    <font>
      <sz val="6.5"/>
      <name val="Arial Cyr"/>
      <family val="2"/>
      <charset val="204"/>
    </font>
    <font>
      <b/>
      <sz val="6.5"/>
      <name val="Arial Cyr"/>
      <family val="2"/>
      <charset val="204"/>
    </font>
    <font>
      <sz val="6"/>
      <name val="Arial Cyr"/>
      <family val="2"/>
      <charset val="204"/>
    </font>
    <font>
      <b/>
      <sz val="6"/>
      <name val="Arial Cyr"/>
      <family val="2"/>
      <charset val="204"/>
    </font>
    <font>
      <i/>
      <sz val="6"/>
      <name val="Arial Cyr"/>
      <family val="2"/>
      <charset val="204"/>
    </font>
    <font>
      <b/>
      <i/>
      <sz val="6"/>
      <name val="Arial Cyr"/>
      <family val="2"/>
      <charset val="204"/>
    </font>
    <font>
      <b/>
      <i/>
      <sz val="6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u/>
      <sz val="8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b/>
      <u/>
      <sz val="8"/>
      <name val="Arial Cyr"/>
      <family val="2"/>
      <charset val="204"/>
    </font>
    <font>
      <i/>
      <sz val="8"/>
      <name val="Arial Cyr"/>
      <charset val="204"/>
    </font>
    <font>
      <b/>
      <sz val="7"/>
      <name val="Arial Cyr"/>
      <family val="2"/>
      <charset val="204"/>
    </font>
    <font>
      <sz val="7"/>
      <name val="Arial Cyr"/>
      <family val="2"/>
      <charset val="204"/>
    </font>
    <font>
      <b/>
      <sz val="5"/>
      <name val="Arial Cyr"/>
      <family val="2"/>
      <charset val="204"/>
    </font>
    <font>
      <sz val="5"/>
      <name val="Arial Cyr"/>
      <family val="2"/>
      <charset val="204"/>
    </font>
    <font>
      <sz val="4.5"/>
      <name val="Arial Cyr"/>
      <family val="2"/>
      <charset val="204"/>
    </font>
    <font>
      <b/>
      <i/>
      <sz val="5"/>
      <name val="Arial Cyr"/>
      <family val="2"/>
      <charset val="204"/>
    </font>
    <font>
      <i/>
      <sz val="6.5"/>
      <name val="Arial Cyr"/>
      <family val="2"/>
      <charset val="204"/>
    </font>
    <font>
      <sz val="6.5"/>
      <color rgb="FF00B0F0"/>
      <name val="Arial Cyr"/>
      <family val="2"/>
      <charset val="204"/>
    </font>
    <font>
      <b/>
      <sz val="6.5"/>
      <color rgb="FF00B0F0"/>
      <name val="Arial Cyr"/>
      <family val="2"/>
      <charset val="204"/>
    </font>
    <font>
      <b/>
      <sz val="6"/>
      <color rgb="FFFF0000"/>
      <name val="Arial Cyr"/>
      <family val="2"/>
      <charset val="204"/>
    </font>
    <font>
      <b/>
      <sz val="6.5"/>
      <color rgb="FFFF0000"/>
      <name val="Arial Cyr"/>
      <family val="2"/>
      <charset val="204"/>
    </font>
    <font>
      <i/>
      <sz val="6"/>
      <color rgb="FFFF0000"/>
      <name val="Arial Cyr"/>
      <family val="2"/>
      <charset val="204"/>
    </font>
    <font>
      <sz val="6"/>
      <color rgb="FFFF0000"/>
      <name val="Arial Cyr"/>
      <family val="2"/>
      <charset val="204"/>
    </font>
    <font>
      <b/>
      <i/>
      <sz val="7"/>
      <name val="Arial Cyr"/>
      <family val="2"/>
      <charset val="204"/>
    </font>
    <font>
      <sz val="11"/>
      <name val="Arial Cyr"/>
      <family val="2"/>
      <charset val="204"/>
    </font>
    <font>
      <b/>
      <sz val="6.5"/>
      <name val="Arial Cyr"/>
      <charset val="204"/>
    </font>
    <font>
      <sz val="8"/>
      <color rgb="FFFF0000"/>
      <name val="Arial Cyr"/>
      <family val="2"/>
      <charset val="204"/>
    </font>
    <font>
      <i/>
      <sz val="7"/>
      <name val="Arial Cyr"/>
      <family val="2"/>
      <charset val="204"/>
    </font>
    <font>
      <i/>
      <sz val="6"/>
      <color rgb="FF00B050"/>
      <name val="Arial Cyr"/>
      <family val="2"/>
      <charset val="204"/>
    </font>
    <font>
      <i/>
      <sz val="6"/>
      <color rgb="FFC00000"/>
      <name val="Arial Cyr"/>
      <family val="2"/>
      <charset val="204"/>
    </font>
    <font>
      <sz val="6"/>
      <name val="Arial Cyr"/>
      <charset val="204"/>
    </font>
    <font>
      <i/>
      <sz val="6"/>
      <color rgb="FF0070C0"/>
      <name val="Arial Cyr"/>
      <family val="2"/>
      <charset val="204"/>
    </font>
    <font>
      <sz val="6"/>
      <color rgb="FF002060"/>
      <name val="Arial Cyr"/>
      <family val="2"/>
      <charset val="204"/>
    </font>
    <font>
      <sz val="6.5"/>
      <color rgb="FF002060"/>
      <name val="Arial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i/>
      <sz val="6"/>
      <color rgb="FF002060"/>
      <name val="Arial Cyr"/>
      <family val="2"/>
      <charset val="204"/>
    </font>
    <font>
      <b/>
      <sz val="6"/>
      <name val="Times New Roman"/>
      <family val="1"/>
      <charset val="204"/>
    </font>
    <font>
      <b/>
      <sz val="6.5"/>
      <name val="Times New Roman"/>
      <family val="1"/>
      <charset val="204"/>
    </font>
    <font>
      <sz val="6.5"/>
      <name val="Times New Roman"/>
      <family val="1"/>
      <charset val="204"/>
    </font>
    <font>
      <sz val="6"/>
      <color rgb="FF002060"/>
      <name val="Arial Cyr"/>
      <charset val="204"/>
    </font>
    <font>
      <i/>
      <sz val="6"/>
      <color rgb="FF002060"/>
      <name val="Arial Cyr"/>
      <charset val="204"/>
    </font>
    <font>
      <b/>
      <sz val="6"/>
      <color rgb="FF002060"/>
      <name val="Arial Cyr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6"/>
      <name val="Arial Cyr"/>
      <charset val="204"/>
    </font>
    <font>
      <b/>
      <sz val="8"/>
      <name val="Times New Roman"/>
      <family val="1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6"/>
      <color rgb="FFC00000"/>
      <name val="Arial Cyr"/>
      <family val="2"/>
      <charset val="204"/>
    </font>
    <font>
      <sz val="6.5"/>
      <color rgb="FFC00000"/>
      <name val="Arial Cyr"/>
      <family val="2"/>
      <charset val="204"/>
    </font>
    <font>
      <b/>
      <sz val="6.5"/>
      <color rgb="FFC00000"/>
      <name val="Arial Cyr"/>
      <family val="2"/>
      <charset val="204"/>
    </font>
    <font>
      <i/>
      <sz val="6"/>
      <color rgb="FF7030A0"/>
      <name val="Arial Cyr"/>
      <family val="2"/>
      <charset val="204"/>
    </font>
    <font>
      <b/>
      <sz val="6"/>
      <color rgb="FF7030A0"/>
      <name val="Arial Cyr"/>
      <family val="2"/>
      <charset val="204"/>
    </font>
    <font>
      <sz val="6.5"/>
      <color rgb="FF002060"/>
      <name val="Arial Cyr"/>
      <family val="2"/>
      <charset val="204"/>
    </font>
    <font>
      <b/>
      <sz val="6.5"/>
      <color rgb="FF002060"/>
      <name val="Arial Cyr"/>
      <family val="2"/>
      <charset val="204"/>
    </font>
    <font>
      <b/>
      <i/>
      <sz val="8"/>
      <color rgb="FF002060"/>
      <name val="Arial Cyr"/>
      <family val="2"/>
      <charset val="204"/>
    </font>
    <font>
      <b/>
      <sz val="8"/>
      <color rgb="FF002060"/>
      <name val="Arial Cyr"/>
      <family val="2"/>
      <charset val="204"/>
    </font>
    <font>
      <sz val="8"/>
      <color rgb="FF002060"/>
      <name val="Arial Cyr"/>
      <family val="2"/>
      <charset val="204"/>
    </font>
    <font>
      <i/>
      <sz val="6.5"/>
      <color rgb="FF002060"/>
      <name val="Arial Cyr"/>
      <family val="2"/>
      <charset val="204"/>
    </font>
    <font>
      <b/>
      <sz val="8"/>
      <color rgb="FFFF0000"/>
      <name val="Times New Roman"/>
      <family val="1"/>
    </font>
    <font>
      <b/>
      <i/>
      <sz val="6"/>
      <color rgb="FFFF0000"/>
      <name val="Arial Cyr"/>
      <family val="2"/>
      <charset val="204"/>
    </font>
    <font>
      <b/>
      <sz val="8"/>
      <color rgb="FFFF0000"/>
      <name val="Arial Cyr"/>
      <family val="2"/>
      <charset val="204"/>
    </font>
    <font>
      <sz val="6.5"/>
      <color rgb="FFFF0000"/>
      <name val="Arial Cyr"/>
      <family val="2"/>
      <charset val="204"/>
    </font>
    <font>
      <i/>
      <sz val="6.5"/>
      <color rgb="FFFF0000"/>
      <name val="Arial Cyr"/>
      <family val="2"/>
      <charset val="204"/>
    </font>
    <font>
      <b/>
      <sz val="6.5"/>
      <color rgb="FFFF0000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9" tint="0.39997558519241921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2672">
    <xf numFmtId="0" fontId="0" fillId="0" borderId="0" xfId="0"/>
    <xf numFmtId="0" fontId="3" fillId="0" borderId="0" xfId="0" applyFont="1"/>
    <xf numFmtId="1" fontId="3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/>
    </xf>
    <xf numFmtId="1" fontId="3" fillId="0" borderId="1" xfId="0" applyNumberFormat="1" applyFont="1" applyBorder="1"/>
    <xf numFmtId="0" fontId="8" fillId="0" borderId="2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2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left" vertical="center" wrapText="1"/>
    </xf>
    <xf numFmtId="166" fontId="9" fillId="0" borderId="15" xfId="0" applyNumberFormat="1" applyFont="1" applyBorder="1" applyAlignment="1">
      <alignment horizontal="center" vertical="center" wrapText="1"/>
    </xf>
    <xf numFmtId="165" fontId="8" fillId="0" borderId="30" xfId="0" applyNumberFormat="1" applyFont="1" applyBorder="1" applyAlignment="1">
      <alignment horizontal="left" vertical="center"/>
    </xf>
    <xf numFmtId="166" fontId="8" fillId="0" borderId="4" xfId="0" applyNumberFormat="1" applyFont="1" applyBorder="1"/>
    <xf numFmtId="1" fontId="8" fillId="0" borderId="30" xfId="0" applyNumberFormat="1" applyFont="1" applyBorder="1" applyAlignment="1">
      <alignment horizontal="left" vertical="center"/>
    </xf>
    <xf numFmtId="166" fontId="8" fillId="0" borderId="7" xfId="0" applyNumberFormat="1" applyFont="1" applyBorder="1"/>
    <xf numFmtId="166" fontId="8" fillId="0" borderId="30" xfId="0" applyNumberFormat="1" applyFont="1" applyBorder="1"/>
    <xf numFmtId="166" fontId="8" fillId="0" borderId="8" xfId="0" applyNumberFormat="1" applyFont="1" applyBorder="1"/>
    <xf numFmtId="2" fontId="8" fillId="0" borderId="30" xfId="0" applyNumberFormat="1" applyFont="1" applyBorder="1" applyAlignment="1">
      <alignment horizontal="left" vertical="center" wrapText="1"/>
    </xf>
    <xf numFmtId="165" fontId="8" fillId="0" borderId="30" xfId="0" applyNumberFormat="1" applyFont="1" applyBorder="1" applyAlignment="1">
      <alignment wrapText="1"/>
    </xf>
    <xf numFmtId="165" fontId="8" fillId="0" borderId="30" xfId="0" applyNumberFormat="1" applyFont="1" applyBorder="1" applyAlignment="1">
      <alignment horizontal="left" wrapText="1"/>
    </xf>
    <xf numFmtId="165" fontId="8" fillId="0" borderId="33" xfId="0" applyNumberFormat="1" applyFont="1" applyBorder="1"/>
    <xf numFmtId="165" fontId="8" fillId="0" borderId="30" xfId="0" applyNumberFormat="1" applyFont="1" applyBorder="1"/>
    <xf numFmtId="166" fontId="9" fillId="2" borderId="34" xfId="0" applyNumberFormat="1" applyFont="1" applyFill="1" applyBorder="1"/>
    <xf numFmtId="166" fontId="9" fillId="2" borderId="35" xfId="0" applyNumberFormat="1" applyFont="1" applyFill="1" applyBorder="1"/>
    <xf numFmtId="166" fontId="9" fillId="2" borderId="36" xfId="0" applyNumberFormat="1" applyFont="1" applyFill="1" applyBorder="1"/>
    <xf numFmtId="166" fontId="8" fillId="0" borderId="28" xfId="0" applyNumberFormat="1" applyFont="1" applyBorder="1"/>
    <xf numFmtId="166" fontId="9" fillId="2" borderId="15" xfId="0" applyNumberFormat="1" applyFont="1" applyFill="1" applyBorder="1"/>
    <xf numFmtId="167" fontId="8" fillId="0" borderId="0" xfId="0" applyNumberFormat="1" applyFont="1"/>
    <xf numFmtId="0" fontId="8" fillId="0" borderId="37" xfId="0" applyFont="1" applyBorder="1"/>
    <xf numFmtId="0" fontId="8" fillId="0" borderId="15" xfId="0" applyFont="1" applyBorder="1"/>
    <xf numFmtId="0" fontId="8" fillId="0" borderId="22" xfId="0" applyFont="1" applyBorder="1"/>
    <xf numFmtId="0" fontId="8" fillId="0" borderId="14" xfId="0" applyFont="1" applyBorder="1"/>
    <xf numFmtId="2" fontId="8" fillId="0" borderId="29" xfId="0" applyNumberFormat="1" applyFont="1" applyBorder="1"/>
    <xf numFmtId="0" fontId="8" fillId="0" borderId="29" xfId="0" applyFont="1" applyBorder="1"/>
    <xf numFmtId="0" fontId="9" fillId="0" borderId="14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166" fontId="8" fillId="0" borderId="15" xfId="0" applyNumberFormat="1" applyFont="1" applyBorder="1"/>
    <xf numFmtId="166" fontId="9" fillId="0" borderId="4" xfId="0" applyNumberFormat="1" applyFont="1" applyBorder="1" applyAlignment="1">
      <alignment horizontal="center" vertical="center" wrapText="1"/>
    </xf>
    <xf numFmtId="166" fontId="9" fillId="0" borderId="40" xfId="0" applyNumberFormat="1" applyFont="1" applyBorder="1" applyAlignment="1">
      <alignment horizontal="center" vertical="center" wrapText="1"/>
    </xf>
    <xf numFmtId="166" fontId="9" fillId="0" borderId="8" xfId="0" applyNumberFormat="1" applyFont="1" applyBorder="1" applyAlignment="1">
      <alignment horizontal="center" vertical="center" wrapText="1"/>
    </xf>
    <xf numFmtId="166" fontId="9" fillId="0" borderId="7" xfId="0" applyNumberFormat="1" applyFont="1" applyBorder="1" applyAlignment="1">
      <alignment horizontal="center" vertical="center" wrapText="1"/>
    </xf>
    <xf numFmtId="3" fontId="9" fillId="0" borderId="3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/>
    <xf numFmtId="1" fontId="8" fillId="0" borderId="30" xfId="0" applyNumberFormat="1" applyFont="1" applyBorder="1"/>
    <xf numFmtId="165" fontId="9" fillId="2" borderId="16" xfId="0" applyNumberFormat="1" applyFont="1" applyFill="1" applyBorder="1"/>
    <xf numFmtId="165" fontId="8" fillId="0" borderId="39" xfId="0" applyNumberFormat="1" applyFont="1" applyBorder="1"/>
    <xf numFmtId="166" fontId="8" fillId="0" borderId="39" xfId="0" applyNumberFormat="1" applyFont="1" applyBorder="1"/>
    <xf numFmtId="165" fontId="8" fillId="0" borderId="32" xfId="0" applyNumberFormat="1" applyFont="1" applyBorder="1"/>
    <xf numFmtId="165" fontId="8" fillId="0" borderId="32" xfId="0" applyNumberFormat="1" applyFont="1" applyBorder="1" applyAlignment="1">
      <alignment wrapText="1"/>
    </xf>
    <xf numFmtId="166" fontId="8" fillId="0" borderId="41" xfId="0" applyNumberFormat="1" applyFont="1" applyBorder="1"/>
    <xf numFmtId="166" fontId="8" fillId="0" borderId="25" xfId="0" applyNumberFormat="1" applyFont="1" applyBorder="1"/>
    <xf numFmtId="166" fontId="8" fillId="0" borderId="42" xfId="0" applyNumberFormat="1" applyFont="1" applyBorder="1"/>
    <xf numFmtId="165" fontId="9" fillId="0" borderId="39" xfId="0" applyNumberFormat="1" applyFont="1" applyBorder="1"/>
    <xf numFmtId="166" fontId="9" fillId="0" borderId="32" xfId="0" applyNumberFormat="1" applyFont="1" applyBorder="1"/>
    <xf numFmtId="166" fontId="9" fillId="0" borderId="1" xfId="0" applyNumberFormat="1" applyFont="1" applyBorder="1"/>
    <xf numFmtId="166" fontId="9" fillId="0" borderId="4" xfId="0" applyNumberFormat="1" applyFont="1" applyBorder="1"/>
    <xf numFmtId="0" fontId="9" fillId="0" borderId="41" xfId="0" applyFont="1" applyBorder="1"/>
    <xf numFmtId="165" fontId="9" fillId="0" borderId="43" xfId="0" applyNumberFormat="1" applyFont="1" applyBorder="1"/>
    <xf numFmtId="166" fontId="9" fillId="0" borderId="43" xfId="0" applyNumberFormat="1" applyFont="1" applyBorder="1"/>
    <xf numFmtId="166" fontId="9" fillId="0" borderId="44" xfId="0" applyNumberFormat="1" applyFont="1" applyBorder="1"/>
    <xf numFmtId="166" fontId="9" fillId="0" borderId="0" xfId="0" applyNumberFormat="1" applyFont="1" applyBorder="1"/>
    <xf numFmtId="166" fontId="8" fillId="0" borderId="44" xfId="0" applyNumberFormat="1" applyFont="1" applyBorder="1"/>
    <xf numFmtId="166" fontId="9" fillId="0" borderId="39" xfId="0" applyNumberFormat="1" applyFont="1" applyBorder="1"/>
    <xf numFmtId="2" fontId="9" fillId="0" borderId="41" xfId="0" applyNumberFormat="1" applyFont="1" applyBorder="1"/>
    <xf numFmtId="2" fontId="8" fillId="0" borderId="25" xfId="0" applyNumberFormat="1" applyFont="1" applyBorder="1"/>
    <xf numFmtId="2" fontId="8" fillId="0" borderId="42" xfId="0" applyNumberFormat="1" applyFont="1" applyBorder="1"/>
    <xf numFmtId="166" fontId="9" fillId="0" borderId="28" xfId="0" applyNumberFormat="1" applyFont="1" applyBorder="1"/>
    <xf numFmtId="2" fontId="8" fillId="0" borderId="0" xfId="0" applyNumberFormat="1" applyFont="1"/>
    <xf numFmtId="0" fontId="8" fillId="0" borderId="33" xfId="0" applyFont="1" applyBorder="1"/>
    <xf numFmtId="166" fontId="8" fillId="0" borderId="43" xfId="0" applyNumberFormat="1" applyFont="1" applyBorder="1"/>
    <xf numFmtId="0" fontId="9" fillId="0" borderId="39" xfId="0" applyFont="1" applyBorder="1"/>
    <xf numFmtId="166" fontId="9" fillId="0" borderId="45" xfId="0" applyNumberFormat="1" applyFont="1" applyBorder="1"/>
    <xf numFmtId="164" fontId="9" fillId="0" borderId="41" xfId="0" applyNumberFormat="1" applyFont="1" applyBorder="1"/>
    <xf numFmtId="164" fontId="8" fillId="0" borderId="41" xfId="0" applyNumberFormat="1" applyFont="1" applyBorder="1"/>
    <xf numFmtId="164" fontId="8" fillId="0" borderId="25" xfId="0" applyNumberFormat="1" applyFont="1" applyBorder="1"/>
    <xf numFmtId="164" fontId="8" fillId="0" borderId="42" xfId="0" applyNumberFormat="1" applyFont="1" applyBorder="1"/>
    <xf numFmtId="164" fontId="8" fillId="0" borderId="0" xfId="0" applyNumberFormat="1" applyFont="1"/>
    <xf numFmtId="166" fontId="8" fillId="0" borderId="0" xfId="0" applyNumberFormat="1" applyFont="1"/>
    <xf numFmtId="165" fontId="11" fillId="0" borderId="0" xfId="0" applyNumberFormat="1" applyFont="1" applyFill="1" applyBorder="1"/>
    <xf numFmtId="165" fontId="10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/>
    <xf numFmtId="165" fontId="10" fillId="0" borderId="34" xfId="0" applyNumberFormat="1" applyFont="1" applyFill="1" applyBorder="1" applyAlignment="1">
      <alignment horizontal="center"/>
    </xf>
    <xf numFmtId="165" fontId="10" fillId="0" borderId="0" xfId="0" applyNumberFormat="1" applyFont="1" applyFill="1"/>
    <xf numFmtId="165" fontId="11" fillId="0" borderId="43" xfId="0" applyNumberFormat="1" applyFont="1" applyFill="1" applyBorder="1"/>
    <xf numFmtId="165" fontId="11" fillId="0" borderId="0" xfId="0" applyNumberFormat="1" applyFont="1" applyFill="1"/>
    <xf numFmtId="165" fontId="11" fillId="0" borderId="48" xfId="0" applyNumberFormat="1" applyFont="1" applyFill="1" applyBorder="1"/>
    <xf numFmtId="165" fontId="11" fillId="0" borderId="31" xfId="0" applyNumberFormat="1" applyFont="1" applyFill="1" applyBorder="1"/>
    <xf numFmtId="165" fontId="11" fillId="0" borderId="22" xfId="0" applyNumberFormat="1" applyFont="1" applyFill="1" applyBorder="1"/>
    <xf numFmtId="165" fontId="10" fillId="0" borderId="43" xfId="0" applyNumberFormat="1" applyFont="1" applyFill="1" applyBorder="1"/>
    <xf numFmtId="165" fontId="10" fillId="0" borderId="8" xfId="0" applyNumberFormat="1" applyFont="1" applyFill="1" applyBorder="1" applyAlignment="1">
      <alignment horizontal="right" vertical="center"/>
    </xf>
    <xf numFmtId="165" fontId="10" fillId="0" borderId="43" xfId="0" applyNumberFormat="1" applyFont="1" applyFill="1" applyBorder="1" applyAlignment="1">
      <alignment horizontal="left"/>
    </xf>
    <xf numFmtId="165" fontId="10" fillId="0" borderId="0" xfId="0" applyNumberFormat="1" applyFont="1" applyFill="1" applyAlignment="1">
      <alignment horizontal="left"/>
    </xf>
    <xf numFmtId="1" fontId="12" fillId="0" borderId="43" xfId="0" applyNumberFormat="1" applyFont="1" applyFill="1" applyBorder="1" applyAlignment="1">
      <alignment horizontal="left"/>
    </xf>
    <xf numFmtId="1" fontId="12" fillId="0" borderId="0" xfId="0" applyNumberFormat="1" applyFont="1" applyFill="1" applyAlignment="1">
      <alignment horizontal="left"/>
    </xf>
    <xf numFmtId="165" fontId="10" fillId="0" borderId="43" xfId="0" applyNumberFormat="1" applyFont="1" applyFill="1" applyBorder="1" applyAlignment="1">
      <alignment horizontal="right"/>
    </xf>
    <xf numFmtId="165" fontId="10" fillId="0" borderId="0" xfId="0" applyNumberFormat="1" applyFont="1" applyFill="1" applyAlignment="1">
      <alignment horizontal="right"/>
    </xf>
    <xf numFmtId="165" fontId="10" fillId="0" borderId="30" xfId="0" applyNumberFormat="1" applyFont="1" applyFill="1" applyBorder="1" applyAlignment="1">
      <alignment horizontal="left" vertical="center" wrapText="1"/>
    </xf>
    <xf numFmtId="165" fontId="11" fillId="0" borderId="30" xfId="0" applyNumberFormat="1" applyFont="1" applyFill="1" applyBorder="1"/>
    <xf numFmtId="165" fontId="10" fillId="0" borderId="30" xfId="0" applyNumberFormat="1" applyFont="1" applyFill="1" applyBorder="1" applyAlignment="1">
      <alignment wrapText="1"/>
    </xf>
    <xf numFmtId="165" fontId="10" fillId="0" borderId="33" xfId="0" applyNumberFormat="1" applyFont="1" applyFill="1" applyBorder="1"/>
    <xf numFmtId="165" fontId="11" fillId="0" borderId="16" xfId="0" applyNumberFormat="1" applyFont="1" applyFill="1" applyBorder="1"/>
    <xf numFmtId="165" fontId="10" fillId="0" borderId="39" xfId="0" applyNumberFormat="1" applyFont="1" applyFill="1" applyBorder="1"/>
    <xf numFmtId="165" fontId="10" fillId="0" borderId="32" xfId="0" applyNumberFormat="1" applyFont="1" applyFill="1" applyBorder="1"/>
    <xf numFmtId="165" fontId="5" fillId="0" borderId="32" xfId="0" applyNumberFormat="1" applyFont="1" applyFill="1" applyBorder="1"/>
    <xf numFmtId="165" fontId="11" fillId="0" borderId="39" xfId="0" applyNumberFormat="1" applyFont="1" applyFill="1" applyBorder="1"/>
    <xf numFmtId="165" fontId="11" fillId="0" borderId="15" xfId="0" applyNumberFormat="1" applyFont="1" applyFill="1" applyBorder="1"/>
    <xf numFmtId="165" fontId="11" fillId="5" borderId="0" xfId="0" applyNumberFormat="1" applyFont="1" applyFill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vertical="center"/>
    </xf>
    <xf numFmtId="0" fontId="3" fillId="0" borderId="11" xfId="0" applyFont="1" applyBorder="1"/>
    <xf numFmtId="0" fontId="2" fillId="0" borderId="11" xfId="0" applyFont="1" applyBorder="1"/>
    <xf numFmtId="0" fontId="2" fillId="0" borderId="23" xfId="0" applyFont="1" applyBorder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0" xfId="0" applyFont="1" applyBorder="1"/>
    <xf numFmtId="0" fontId="2" fillId="0" borderId="18" xfId="0" applyFont="1" applyBorder="1" applyAlignment="1">
      <alignment horizontal="left" vertical="center"/>
    </xf>
    <xf numFmtId="1" fontId="3" fillId="0" borderId="6" xfId="0" applyNumberFormat="1" applyFont="1" applyBorder="1"/>
    <xf numFmtId="0" fontId="2" fillId="0" borderId="5" xfId="0" applyFont="1" applyBorder="1"/>
    <xf numFmtId="0" fontId="2" fillId="0" borderId="40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18" xfId="0" applyFont="1" applyBorder="1"/>
    <xf numFmtId="0" fontId="3" fillId="0" borderId="11" xfId="0" applyFont="1" applyFill="1" applyBorder="1"/>
    <xf numFmtId="0" fontId="3" fillId="0" borderId="23" xfId="0" applyFont="1" applyFill="1" applyBorder="1"/>
    <xf numFmtId="0" fontId="3" fillId="0" borderId="12" xfId="0" applyFont="1" applyFill="1" applyBorder="1"/>
    <xf numFmtId="0" fontId="3" fillId="0" borderId="18" xfId="0" applyFont="1" applyFill="1" applyBorder="1" applyAlignment="1">
      <alignment horizontal="left" vertical="top"/>
    </xf>
    <xf numFmtId="0" fontId="3" fillId="0" borderId="0" xfId="0" applyFont="1" applyBorder="1" applyAlignment="1">
      <alignment vertical="center"/>
    </xf>
    <xf numFmtId="0" fontId="22" fillId="0" borderId="0" xfId="0" applyFont="1"/>
    <xf numFmtId="0" fontId="23" fillId="0" borderId="0" xfId="0" applyFont="1"/>
    <xf numFmtId="49" fontId="22" fillId="0" borderId="15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wrapText="1"/>
    </xf>
    <xf numFmtId="0" fontId="23" fillId="0" borderId="7" xfId="0" applyFont="1" applyBorder="1" applyAlignment="1">
      <alignment wrapText="1"/>
    </xf>
    <xf numFmtId="0" fontId="22" fillId="0" borderId="7" xfId="0" applyFont="1" applyBorder="1" applyAlignment="1">
      <alignment wrapText="1"/>
    </xf>
    <xf numFmtId="0" fontId="22" fillId="0" borderId="8" xfId="0" applyFont="1" applyBorder="1" applyAlignment="1">
      <alignment wrapText="1"/>
    </xf>
    <xf numFmtId="0" fontId="22" fillId="0" borderId="14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22" fillId="2" borderId="15" xfId="0" applyFont="1" applyFill="1" applyBorder="1"/>
    <xf numFmtId="0" fontId="22" fillId="0" borderId="7" xfId="0" applyFont="1" applyBorder="1"/>
    <xf numFmtId="0" fontId="23" fillId="0" borderId="7" xfId="0" applyFont="1" applyBorder="1"/>
    <xf numFmtId="0" fontId="23" fillId="0" borderId="28" xfId="0" applyFont="1" applyBorder="1"/>
    <xf numFmtId="0" fontId="22" fillId="0" borderId="4" xfId="0" applyFont="1" applyBorder="1"/>
    <xf numFmtId="0" fontId="23" fillId="0" borderId="30" xfId="0" applyFont="1" applyBorder="1"/>
    <xf numFmtId="0" fontId="23" fillId="0" borderId="25" xfId="0" applyFont="1" applyBorder="1"/>
    <xf numFmtId="0" fontId="23" fillId="0" borderId="4" xfId="0" applyFont="1" applyBorder="1"/>
    <xf numFmtId="0" fontId="23" fillId="0" borderId="8" xfId="0" applyFont="1" applyBorder="1"/>
    <xf numFmtId="49" fontId="23" fillId="0" borderId="4" xfId="0" applyNumberFormat="1" applyFont="1" applyBorder="1"/>
    <xf numFmtId="49" fontId="23" fillId="0" borderId="1" xfId="0" applyNumberFormat="1" applyFont="1" applyBorder="1"/>
    <xf numFmtId="49" fontId="23" fillId="0" borderId="0" xfId="0" applyNumberFormat="1" applyFont="1"/>
    <xf numFmtId="1" fontId="2" fillId="0" borderId="1" xfId="1" applyNumberFormat="1" applyFont="1" applyBorder="1" applyAlignment="1">
      <alignment horizontal="right" vertical="center" wrapText="1"/>
    </xf>
    <xf numFmtId="1" fontId="2" fillId="0" borderId="1" xfId="1" applyNumberFormat="1" applyFont="1" applyBorder="1" applyAlignment="1">
      <alignment horizontal="right" vertical="center"/>
    </xf>
    <xf numFmtId="1" fontId="2" fillId="0" borderId="7" xfId="1" applyNumberFormat="1" applyFont="1" applyBorder="1" applyAlignment="1">
      <alignment horizontal="right" vertical="center"/>
    </xf>
    <xf numFmtId="1" fontId="7" fillId="2" borderId="15" xfId="1" applyNumberFormat="1" applyFont="1" applyFill="1" applyBorder="1" applyAlignment="1">
      <alignment horizontal="right" vertical="center"/>
    </xf>
    <xf numFmtId="1" fontId="3" fillId="0" borderId="7" xfId="1" applyNumberFormat="1" applyFont="1" applyBorder="1" applyAlignment="1">
      <alignment horizontal="right" vertical="center"/>
    </xf>
    <xf numFmtId="1" fontId="3" fillId="0" borderId="1" xfId="1" applyNumberFormat="1" applyFont="1" applyBorder="1" applyAlignment="1">
      <alignment horizontal="right"/>
    </xf>
    <xf numFmtId="1" fontId="3" fillId="0" borderId="7" xfId="1" applyNumberFormat="1" applyFont="1" applyBorder="1" applyAlignment="1">
      <alignment horizontal="right"/>
    </xf>
    <xf numFmtId="1" fontId="3" fillId="0" borderId="7" xfId="1" applyNumberFormat="1" applyFont="1" applyBorder="1" applyAlignment="1">
      <alignment horizontal="right" vertical="center" wrapText="1"/>
    </xf>
    <xf numFmtId="1" fontId="3" fillId="0" borderId="28" xfId="1" applyNumberFormat="1" applyFont="1" applyBorder="1" applyAlignment="1">
      <alignment horizontal="right" vertical="center" wrapText="1"/>
    </xf>
    <xf numFmtId="1" fontId="3" fillId="0" borderId="28" xfId="1" applyNumberFormat="1" applyFont="1" applyBorder="1" applyAlignment="1">
      <alignment horizontal="right" vertical="center"/>
    </xf>
    <xf numFmtId="1" fontId="3" fillId="0" borderId="38" xfId="1" applyNumberFormat="1" applyFont="1" applyBorder="1" applyAlignment="1">
      <alignment horizontal="right" vertical="center"/>
    </xf>
    <xf numFmtId="1" fontId="3" fillId="0" borderId="8" xfId="1" applyNumberFormat="1" applyFont="1" applyBorder="1" applyAlignment="1">
      <alignment horizontal="right" vertical="center"/>
    </xf>
    <xf numFmtId="1" fontId="7" fillId="6" borderId="15" xfId="1" applyNumberFormat="1" applyFont="1" applyFill="1" applyBorder="1" applyAlignment="1">
      <alignment horizontal="right" vertical="center"/>
    </xf>
    <xf numFmtId="165" fontId="23" fillId="0" borderId="0" xfId="0" applyNumberFormat="1" applyFont="1"/>
    <xf numFmtId="1" fontId="15" fillId="0" borderId="0" xfId="0" applyNumberFormat="1" applyFont="1"/>
    <xf numFmtId="1" fontId="3" fillId="0" borderId="3" xfId="0" applyNumberFormat="1" applyFont="1" applyBorder="1" applyAlignment="1">
      <alignment horizontal="center" vertical="center"/>
    </xf>
    <xf numFmtId="1" fontId="3" fillId="0" borderId="57" xfId="0" applyNumberFormat="1" applyFont="1" applyBorder="1"/>
    <xf numFmtId="1" fontId="3" fillId="0" borderId="0" xfId="0" applyNumberFormat="1" applyFont="1" applyBorder="1"/>
    <xf numFmtId="166" fontId="8" fillId="0" borderId="0" xfId="0" applyNumberFormat="1" applyFont="1" applyBorder="1"/>
    <xf numFmtId="0" fontId="23" fillId="0" borderId="18" xfId="0" applyFont="1" applyBorder="1" applyAlignment="1">
      <alignment wrapText="1"/>
    </xf>
    <xf numFmtId="1" fontId="2" fillId="0" borderId="7" xfId="1" applyNumberFormat="1" applyFont="1" applyFill="1" applyBorder="1" applyAlignment="1">
      <alignment horizontal="right" vertical="center"/>
    </xf>
    <xf numFmtId="165" fontId="11" fillId="0" borderId="48" xfId="0" applyNumberFormat="1" applyFont="1" applyFill="1" applyBorder="1" applyAlignment="1">
      <alignment horizontal="center" vertical="center" wrapText="1"/>
    </xf>
    <xf numFmtId="165" fontId="10" fillId="0" borderId="48" xfId="0" applyNumberFormat="1" applyFont="1" applyFill="1" applyBorder="1" applyAlignment="1">
      <alignment horizontal="left" vertical="center"/>
    </xf>
    <xf numFmtId="165" fontId="11" fillId="0" borderId="34" xfId="0" applyNumberFormat="1" applyFont="1" applyFill="1" applyBorder="1"/>
    <xf numFmtId="165" fontId="10" fillId="0" borderId="16" xfId="0" applyNumberFormat="1" applyFont="1" applyFill="1" applyBorder="1"/>
    <xf numFmtId="165" fontId="12" fillId="0" borderId="48" xfId="0" applyNumberFormat="1" applyFont="1" applyFill="1" applyBorder="1" applyAlignment="1">
      <alignment horizontal="center" vertical="center" wrapText="1"/>
    </xf>
    <xf numFmtId="164" fontId="10" fillId="0" borderId="48" xfId="0" applyNumberFormat="1" applyFont="1" applyFill="1" applyBorder="1" applyAlignment="1">
      <alignment horizontal="left" vertical="center"/>
    </xf>
    <xf numFmtId="164" fontId="11" fillId="0" borderId="48" xfId="0" applyNumberFormat="1" applyFont="1" applyFill="1" applyBorder="1" applyAlignment="1">
      <alignment horizontal="center" vertical="center" wrapText="1"/>
    </xf>
    <xf numFmtId="165" fontId="11" fillId="0" borderId="48" xfId="0" applyNumberFormat="1" applyFont="1" applyFill="1" applyBorder="1" applyAlignment="1">
      <alignment horizontal="left" vertical="center" wrapText="1"/>
    </xf>
    <xf numFmtId="165" fontId="11" fillId="0" borderId="48" xfId="0" applyNumberFormat="1" applyFont="1" applyFill="1" applyBorder="1" applyAlignment="1">
      <alignment horizontal="right" vertical="center"/>
    </xf>
    <xf numFmtId="1" fontId="12" fillId="0" borderId="48" xfId="0" applyNumberFormat="1" applyFont="1" applyFill="1" applyBorder="1" applyAlignment="1">
      <alignment horizontal="left" vertical="center"/>
    </xf>
    <xf numFmtId="165" fontId="10" fillId="0" borderId="48" xfId="0" applyNumberFormat="1" applyFont="1" applyFill="1" applyBorder="1" applyAlignment="1">
      <alignment horizontal="left" vertical="center" wrapText="1"/>
    </xf>
    <xf numFmtId="165" fontId="10" fillId="0" borderId="48" xfId="0" applyNumberFormat="1" applyFont="1" applyFill="1" applyBorder="1" applyAlignment="1">
      <alignment wrapText="1"/>
    </xf>
    <xf numFmtId="165" fontId="10" fillId="0" borderId="48" xfId="0" applyNumberFormat="1" applyFont="1" applyFill="1" applyBorder="1"/>
    <xf numFmtId="2" fontId="11" fillId="0" borderId="48" xfId="0" applyNumberFormat="1" applyFont="1" applyFill="1" applyBorder="1"/>
    <xf numFmtId="165" fontId="11" fillId="4" borderId="48" xfId="0" applyNumberFormat="1" applyFont="1" applyFill="1" applyBorder="1"/>
    <xf numFmtId="165" fontId="10" fillId="0" borderId="59" xfId="0" applyNumberFormat="1" applyFont="1" applyFill="1" applyBorder="1"/>
    <xf numFmtId="165" fontId="10" fillId="0" borderId="59" xfId="0" applyNumberFormat="1" applyFont="1" applyFill="1" applyBorder="1" applyAlignment="1">
      <alignment horizontal="left" vertical="center"/>
    </xf>
    <xf numFmtId="165" fontId="10" fillId="0" borderId="58" xfId="0" applyNumberFormat="1" applyFont="1" applyFill="1" applyBorder="1"/>
    <xf numFmtId="165" fontId="11" fillId="0" borderId="2" xfId="0" applyNumberFormat="1" applyFont="1" applyFill="1" applyBorder="1"/>
    <xf numFmtId="165" fontId="11" fillId="0" borderId="66" xfId="0" applyNumberFormat="1" applyFont="1" applyFill="1" applyBorder="1"/>
    <xf numFmtId="165" fontId="10" fillId="0" borderId="43" xfId="0" applyNumberFormat="1" applyFont="1" applyFill="1" applyBorder="1" applyAlignment="1">
      <alignment horizontal="center"/>
    </xf>
    <xf numFmtId="1" fontId="12" fillId="0" borderId="48" xfId="0" applyNumberFormat="1" applyFont="1" applyFill="1" applyBorder="1" applyAlignment="1">
      <alignment horizontal="center" vertical="center" wrapText="1"/>
    </xf>
    <xf numFmtId="165" fontId="11" fillId="13" borderId="48" xfId="0" applyNumberFormat="1" applyFont="1" applyFill="1" applyBorder="1"/>
    <xf numFmtId="165" fontId="12" fillId="13" borderId="48" xfId="0" applyNumberFormat="1" applyFont="1" applyFill="1" applyBorder="1" applyAlignment="1">
      <alignment horizontal="center" vertical="center" wrapText="1"/>
    </xf>
    <xf numFmtId="1" fontId="12" fillId="13" borderId="48" xfId="0" applyNumberFormat="1" applyFont="1" applyFill="1" applyBorder="1" applyAlignment="1">
      <alignment horizontal="center" vertical="center" wrapText="1"/>
    </xf>
    <xf numFmtId="164" fontId="11" fillId="13" borderId="48" xfId="0" applyNumberFormat="1" applyFont="1" applyFill="1" applyBorder="1" applyAlignment="1">
      <alignment horizontal="center" vertical="center" wrapText="1"/>
    </xf>
    <xf numFmtId="165" fontId="11" fillId="13" borderId="48" xfId="0" applyNumberFormat="1" applyFont="1" applyFill="1" applyBorder="1" applyAlignment="1">
      <alignment horizontal="center" vertical="center" wrapText="1"/>
    </xf>
    <xf numFmtId="165" fontId="11" fillId="13" borderId="48" xfId="0" applyNumberFormat="1" applyFont="1" applyFill="1" applyBorder="1" applyAlignment="1">
      <alignment horizontal="right" vertical="center"/>
    </xf>
    <xf numFmtId="1" fontId="12" fillId="13" borderId="48" xfId="0" applyNumberFormat="1" applyFont="1" applyFill="1" applyBorder="1" applyAlignment="1">
      <alignment horizontal="left" vertical="center"/>
    </xf>
    <xf numFmtId="165" fontId="10" fillId="13" borderId="48" xfId="0" applyNumberFormat="1" applyFont="1" applyFill="1" applyBorder="1" applyAlignment="1">
      <alignment horizontal="left" vertical="center"/>
    </xf>
    <xf numFmtId="165" fontId="10" fillId="13" borderId="48" xfId="0" applyNumberFormat="1" applyFont="1" applyFill="1" applyBorder="1"/>
    <xf numFmtId="165" fontId="11" fillId="13" borderId="66" xfId="0" applyNumberFormat="1" applyFont="1" applyFill="1" applyBorder="1"/>
    <xf numFmtId="165" fontId="10" fillId="13" borderId="58" xfId="0" applyNumberFormat="1" applyFont="1" applyFill="1" applyBorder="1"/>
    <xf numFmtId="164" fontId="12" fillId="13" borderId="48" xfId="0" applyNumberFormat="1" applyFont="1" applyFill="1" applyBorder="1" applyAlignment="1">
      <alignment horizontal="center" vertical="center" wrapText="1"/>
    </xf>
    <xf numFmtId="165" fontId="12" fillId="14" borderId="48" xfId="0" applyNumberFormat="1" applyFont="1" applyFill="1" applyBorder="1" applyAlignment="1">
      <alignment horizontal="center" vertical="center" wrapText="1"/>
    </xf>
    <xf numFmtId="1" fontId="12" fillId="14" borderId="48" xfId="0" applyNumberFormat="1" applyFont="1" applyFill="1" applyBorder="1" applyAlignment="1">
      <alignment horizontal="center" vertical="center" wrapText="1"/>
    </xf>
    <xf numFmtId="164" fontId="12" fillId="14" borderId="48" xfId="0" applyNumberFormat="1" applyFont="1" applyFill="1" applyBorder="1" applyAlignment="1">
      <alignment horizontal="center" vertical="center" wrapText="1"/>
    </xf>
    <xf numFmtId="165" fontId="10" fillId="14" borderId="48" xfId="0" applyNumberFormat="1" applyFont="1" applyFill="1" applyBorder="1" applyAlignment="1">
      <alignment horizontal="right" vertical="center"/>
    </xf>
    <xf numFmtId="165" fontId="11" fillId="14" borderId="48" xfId="0" applyNumberFormat="1" applyFont="1" applyFill="1" applyBorder="1" applyAlignment="1">
      <alignment horizontal="right" vertical="center"/>
    </xf>
    <xf numFmtId="1" fontId="12" fillId="14" borderId="48" xfId="0" applyNumberFormat="1" applyFont="1" applyFill="1" applyBorder="1" applyAlignment="1">
      <alignment horizontal="left" vertical="center"/>
    </xf>
    <xf numFmtId="165" fontId="11" fillId="14" borderId="66" xfId="0" applyNumberFormat="1" applyFont="1" applyFill="1" applyBorder="1"/>
    <xf numFmtId="165" fontId="11" fillId="14" borderId="48" xfId="0" applyNumberFormat="1" applyFont="1" applyFill="1" applyBorder="1"/>
    <xf numFmtId="165" fontId="10" fillId="14" borderId="48" xfId="0" applyNumberFormat="1" applyFont="1" applyFill="1" applyBorder="1"/>
    <xf numFmtId="165" fontId="11" fillId="15" borderId="48" xfId="0" applyNumberFormat="1" applyFont="1" applyFill="1" applyBorder="1"/>
    <xf numFmtId="0" fontId="8" fillId="0" borderId="0" xfId="0" applyFont="1" applyAlignment="1">
      <alignment vertical="center"/>
    </xf>
    <xf numFmtId="0" fontId="11" fillId="0" borderId="34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165" fontId="11" fillId="0" borderId="15" xfId="0" applyNumberFormat="1" applyFont="1" applyBorder="1" applyAlignment="1">
      <alignment horizontal="left" vertical="center" wrapText="1"/>
    </xf>
    <xf numFmtId="165" fontId="8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168" fontId="8" fillId="0" borderId="0" xfId="0" applyNumberFormat="1" applyFont="1" applyAlignment="1">
      <alignment vertical="center"/>
    </xf>
    <xf numFmtId="165" fontId="8" fillId="0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165" fontId="8" fillId="0" borderId="16" xfId="0" applyNumberFormat="1" applyFont="1" applyBorder="1" applyAlignment="1">
      <alignment vertical="center" shrinkToFit="1"/>
    </xf>
    <xf numFmtId="165" fontId="8" fillId="0" borderId="15" xfId="0" applyNumberFormat="1" applyFont="1" applyBorder="1" applyAlignment="1">
      <alignment vertical="center" shrinkToFit="1"/>
    </xf>
    <xf numFmtId="165" fontId="8" fillId="0" borderId="58" xfId="0" applyNumberFormat="1" applyFont="1" applyBorder="1" applyAlignment="1">
      <alignment vertical="center" shrinkToFit="1"/>
    </xf>
    <xf numFmtId="165" fontId="8" fillId="0" borderId="40" xfId="0" applyNumberFormat="1" applyFont="1" applyBorder="1" applyAlignment="1">
      <alignment vertical="center" shrinkToFit="1"/>
    </xf>
    <xf numFmtId="165" fontId="8" fillId="0" borderId="4" xfId="0" applyNumberFormat="1" applyFont="1" applyBorder="1" applyAlignment="1">
      <alignment vertical="center" shrinkToFit="1"/>
    </xf>
    <xf numFmtId="165" fontId="8" fillId="0" borderId="65" xfId="0" applyNumberFormat="1" applyFont="1" applyBorder="1" applyAlignment="1">
      <alignment vertical="center" shrinkToFit="1"/>
    </xf>
    <xf numFmtId="165" fontId="8" fillId="0" borderId="7" xfId="0" applyNumberFormat="1" applyFont="1" applyBorder="1" applyAlignment="1">
      <alignment vertical="center" shrinkToFit="1"/>
    </xf>
    <xf numFmtId="165" fontId="8" fillId="0" borderId="1" xfId="0" applyNumberFormat="1" applyFont="1" applyBorder="1" applyAlignment="1">
      <alignment vertical="center" shrinkToFit="1"/>
    </xf>
    <xf numFmtId="165" fontId="8" fillId="0" borderId="38" xfId="0" applyNumberFormat="1" applyFont="1" applyBorder="1" applyAlignment="1">
      <alignment vertical="center" shrinkToFit="1"/>
    </xf>
    <xf numFmtId="165" fontId="8" fillId="0" borderId="48" xfId="0" applyNumberFormat="1" applyFont="1" applyBorder="1" applyAlignment="1">
      <alignment vertical="center" shrinkToFit="1"/>
    </xf>
    <xf numFmtId="165" fontId="8" fillId="0" borderId="31" xfId="0" applyNumberFormat="1" applyFont="1" applyBorder="1" applyAlignment="1">
      <alignment vertical="center" shrinkToFit="1"/>
    </xf>
    <xf numFmtId="165" fontId="8" fillId="0" borderId="9" xfId="0" applyNumberFormat="1" applyFont="1" applyBorder="1" applyAlignment="1">
      <alignment vertical="center" shrinkToFit="1"/>
    </xf>
    <xf numFmtId="165" fontId="8" fillId="0" borderId="8" xfId="0" applyNumberFormat="1" applyFont="1" applyBorder="1" applyAlignment="1">
      <alignment vertical="center" shrinkToFit="1"/>
    </xf>
    <xf numFmtId="1" fontId="8" fillId="0" borderId="48" xfId="0" applyNumberFormat="1" applyFont="1" applyBorder="1" applyAlignment="1">
      <alignment vertical="center" shrinkToFit="1"/>
    </xf>
    <xf numFmtId="1" fontId="8" fillId="0" borderId="31" xfId="0" applyNumberFormat="1" applyFont="1" applyBorder="1" applyAlignment="1">
      <alignment vertical="center" shrinkToFit="1"/>
    </xf>
    <xf numFmtId="1" fontId="8" fillId="0" borderId="7" xfId="0" applyNumberFormat="1" applyFont="1" applyBorder="1" applyAlignment="1">
      <alignment vertical="center" shrinkToFit="1"/>
    </xf>
    <xf numFmtId="1" fontId="8" fillId="0" borderId="9" xfId="0" applyNumberFormat="1" applyFont="1" applyBorder="1" applyAlignment="1">
      <alignment vertical="center" shrinkToFit="1"/>
    </xf>
    <xf numFmtId="1" fontId="8" fillId="0" borderId="8" xfId="0" applyNumberFormat="1" applyFont="1" applyBorder="1" applyAlignment="1">
      <alignment vertical="center" shrinkToFit="1"/>
    </xf>
    <xf numFmtId="165" fontId="9" fillId="8" borderId="16" xfId="0" applyNumberFormat="1" applyFont="1" applyFill="1" applyBorder="1" applyAlignment="1">
      <alignment vertical="center" shrinkToFit="1"/>
    </xf>
    <xf numFmtId="165" fontId="11" fillId="8" borderId="16" xfId="0" applyNumberFormat="1" applyFont="1" applyFill="1" applyBorder="1" applyAlignment="1">
      <alignment vertical="center" shrinkToFit="1"/>
    </xf>
    <xf numFmtId="165" fontId="9" fillId="8" borderId="15" xfId="0" applyNumberFormat="1" applyFont="1" applyFill="1" applyBorder="1" applyAlignment="1">
      <alignment vertical="center" shrinkToFit="1"/>
    </xf>
    <xf numFmtId="165" fontId="9" fillId="8" borderId="37" xfId="0" applyNumberFormat="1" applyFont="1" applyFill="1" applyBorder="1" applyAlignment="1">
      <alignment vertical="center" shrinkToFit="1"/>
    </xf>
    <xf numFmtId="165" fontId="8" fillId="5" borderId="7" xfId="0" applyNumberFormat="1" applyFont="1" applyFill="1" applyBorder="1" applyAlignment="1">
      <alignment vertical="center" shrinkToFit="1"/>
    </xf>
    <xf numFmtId="165" fontId="8" fillId="0" borderId="48" xfId="0" applyNumberFormat="1" applyFont="1" applyFill="1" applyBorder="1" applyAlignment="1">
      <alignment vertical="center" shrinkToFit="1"/>
    </xf>
    <xf numFmtId="165" fontId="8" fillId="0" borderId="31" xfId="0" applyNumberFormat="1" applyFont="1" applyFill="1" applyBorder="1" applyAlignment="1">
      <alignment vertical="center" shrinkToFit="1"/>
    </xf>
    <xf numFmtId="165" fontId="8" fillId="0" borderId="7" xfId="0" applyNumberFormat="1" applyFont="1" applyFill="1" applyBorder="1" applyAlignment="1">
      <alignment vertical="center" shrinkToFit="1"/>
    </xf>
    <xf numFmtId="165" fontId="8" fillId="0" borderId="9" xfId="0" applyNumberFormat="1" applyFont="1" applyFill="1" applyBorder="1" applyAlignment="1">
      <alignment vertical="center" shrinkToFit="1"/>
    </xf>
    <xf numFmtId="165" fontId="8" fillId="5" borderId="71" xfId="0" applyNumberFormat="1" applyFont="1" applyFill="1" applyBorder="1" applyAlignment="1">
      <alignment vertical="center" shrinkToFit="1"/>
    </xf>
    <xf numFmtId="165" fontId="8" fillId="5" borderId="0" xfId="0" applyNumberFormat="1" applyFont="1" applyFill="1" applyBorder="1" applyAlignment="1">
      <alignment vertical="center" shrinkToFit="1"/>
    </xf>
    <xf numFmtId="165" fontId="8" fillId="5" borderId="44" xfId="0" applyNumberFormat="1" applyFont="1" applyFill="1" applyBorder="1" applyAlignment="1">
      <alignment vertical="center" shrinkToFit="1"/>
    </xf>
    <xf numFmtId="165" fontId="8" fillId="4" borderId="37" xfId="0" applyNumberFormat="1" applyFont="1" applyFill="1" applyBorder="1" applyAlignment="1">
      <alignment vertical="center" shrinkToFit="1"/>
    </xf>
    <xf numFmtId="165" fontId="8" fillId="0" borderId="65" xfId="0" applyNumberFormat="1" applyFont="1" applyFill="1" applyBorder="1" applyAlignment="1">
      <alignment vertical="center" shrinkToFit="1"/>
    </xf>
    <xf numFmtId="165" fontId="8" fillId="0" borderId="58" xfId="0" applyNumberFormat="1" applyFont="1" applyFill="1" applyBorder="1" applyAlignment="1">
      <alignment vertical="center" shrinkToFit="1"/>
    </xf>
    <xf numFmtId="165" fontId="8" fillId="0" borderId="40" xfId="0" applyNumberFormat="1" applyFont="1" applyFill="1" applyBorder="1" applyAlignment="1">
      <alignment vertical="center" shrinkToFit="1"/>
    </xf>
    <xf numFmtId="165" fontId="8" fillId="0" borderId="59" xfId="0" applyNumberFormat="1" applyFont="1" applyBorder="1" applyAlignment="1">
      <alignment vertical="center" shrinkToFit="1"/>
    </xf>
    <xf numFmtId="2" fontId="8" fillId="0" borderId="59" xfId="0" applyNumberFormat="1" applyFont="1" applyBorder="1" applyAlignment="1">
      <alignment vertical="center" shrinkToFit="1"/>
    </xf>
    <xf numFmtId="165" fontId="8" fillId="0" borderId="69" xfId="0" applyNumberFormat="1" applyFont="1" applyBorder="1" applyAlignment="1">
      <alignment vertical="center" shrinkToFit="1"/>
    </xf>
    <xf numFmtId="165" fontId="8" fillId="0" borderId="28" xfId="0" applyNumberFormat="1" applyFont="1" applyBorder="1" applyAlignment="1">
      <alignment vertical="center" shrinkToFit="1"/>
    </xf>
    <xf numFmtId="165" fontId="8" fillId="0" borderId="0" xfId="0" applyNumberFormat="1" applyFont="1" applyAlignment="1">
      <alignment vertical="center" shrinkToFit="1"/>
    </xf>
    <xf numFmtId="165" fontId="8" fillId="4" borderId="53" xfId="0" applyNumberFormat="1" applyFont="1" applyFill="1" applyBorder="1" applyAlignment="1">
      <alignment vertical="center" shrinkToFit="1"/>
    </xf>
    <xf numFmtId="165" fontId="8" fillId="4" borderId="35" xfId="0" applyNumberFormat="1" applyFont="1" applyFill="1" applyBorder="1" applyAlignment="1">
      <alignment vertical="center" shrinkToFit="1"/>
    </xf>
    <xf numFmtId="165" fontId="8" fillId="4" borderId="36" xfId="0" applyNumberFormat="1" applyFont="1" applyFill="1" applyBorder="1" applyAlignment="1">
      <alignment vertical="center" shrinkToFit="1"/>
    </xf>
    <xf numFmtId="1" fontId="8" fillId="4" borderId="35" xfId="0" applyNumberFormat="1" applyFont="1" applyFill="1" applyBorder="1" applyAlignment="1">
      <alignment vertical="center" shrinkToFit="1"/>
    </xf>
    <xf numFmtId="165" fontId="8" fillId="0" borderId="38" xfId="0" applyNumberFormat="1" applyFont="1" applyFill="1" applyBorder="1" applyAlignment="1">
      <alignment vertical="center" shrinkToFit="1"/>
    </xf>
    <xf numFmtId="1" fontId="8" fillId="0" borderId="30" xfId="0" applyNumberFormat="1" applyFont="1" applyBorder="1" applyAlignment="1">
      <alignment horizontal="left"/>
    </xf>
    <xf numFmtId="164" fontId="8" fillId="4" borderId="53" xfId="0" applyNumberFormat="1" applyFont="1" applyFill="1" applyBorder="1" applyAlignment="1">
      <alignment vertical="center" shrinkToFit="1"/>
    </xf>
    <xf numFmtId="165" fontId="11" fillId="13" borderId="48" xfId="0" applyNumberFormat="1" applyFont="1" applyFill="1" applyBorder="1" applyAlignment="1">
      <alignment wrapText="1"/>
    </xf>
    <xf numFmtId="2" fontId="10" fillId="0" borderId="48" xfId="0" applyNumberFormat="1" applyFont="1" applyFill="1" applyBorder="1" applyAlignment="1">
      <alignment wrapText="1"/>
    </xf>
    <xf numFmtId="165" fontId="11" fillId="0" borderId="32" xfId="0" applyNumberFormat="1" applyFont="1" applyFill="1" applyBorder="1"/>
    <xf numFmtId="165" fontId="11" fillId="3" borderId="48" xfId="0" applyNumberFormat="1" applyFont="1" applyFill="1" applyBorder="1" applyAlignment="1">
      <alignment wrapText="1"/>
    </xf>
    <xf numFmtId="165" fontId="11" fillId="0" borderId="48" xfId="0" applyNumberFormat="1" applyFont="1" applyFill="1" applyBorder="1" applyAlignment="1">
      <alignment wrapText="1"/>
    </xf>
    <xf numFmtId="0" fontId="22" fillId="0" borderId="1" xfId="0" applyFont="1" applyBorder="1"/>
    <xf numFmtId="2" fontId="10" fillId="0" borderId="15" xfId="1" applyNumberFormat="1" applyFont="1" applyBorder="1" applyAlignment="1">
      <alignment horizontal="center" vertical="center" wrapText="1"/>
    </xf>
    <xf numFmtId="2" fontId="10" fillId="0" borderId="15" xfId="1" applyNumberFormat="1" applyFont="1" applyBorder="1" applyAlignment="1">
      <alignment horizontal="left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2" fontId="10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/>
    <xf numFmtId="2" fontId="10" fillId="0" borderId="0" xfId="1" applyNumberFormat="1" applyFont="1" applyBorder="1" applyAlignment="1">
      <alignment horizontal="left" vertical="center"/>
    </xf>
    <xf numFmtId="1" fontId="10" fillId="0" borderId="0" xfId="1" applyNumberFormat="1" applyFont="1" applyBorder="1" applyAlignment="1">
      <alignment horizontal="right" vertical="center"/>
    </xf>
    <xf numFmtId="2" fontId="10" fillId="0" borderId="0" xfId="1" applyNumberFormat="1" applyFont="1" applyBorder="1"/>
    <xf numFmtId="2" fontId="11" fillId="0" borderId="16" xfId="1" applyNumberFormat="1" applyFont="1" applyBorder="1"/>
    <xf numFmtId="2" fontId="10" fillId="0" borderId="37" xfId="1" applyNumberFormat="1" applyFont="1" applyBorder="1" applyAlignment="1">
      <alignment horizontal="left" vertical="center"/>
    </xf>
    <xf numFmtId="1" fontId="10" fillId="0" borderId="37" xfId="1" applyNumberFormat="1" applyFont="1" applyBorder="1" applyAlignment="1">
      <alignment horizontal="right" vertical="center"/>
    </xf>
    <xf numFmtId="2" fontId="13" fillId="2" borderId="15" xfId="1" applyNumberFormat="1" applyFont="1" applyFill="1" applyBorder="1"/>
    <xf numFmtId="2" fontId="13" fillId="2" borderId="15" xfId="1" applyNumberFormat="1" applyFont="1" applyFill="1" applyBorder="1" applyAlignment="1">
      <alignment horizontal="left" vertical="center"/>
    </xf>
    <xf numFmtId="1" fontId="13" fillId="2" borderId="16" xfId="1" applyNumberFormat="1" applyFont="1" applyFill="1" applyBorder="1" applyAlignment="1">
      <alignment horizontal="right" vertical="center"/>
    </xf>
    <xf numFmtId="2" fontId="13" fillId="0" borderId="0" xfId="1" applyNumberFormat="1" applyFont="1" applyBorder="1"/>
    <xf numFmtId="2" fontId="11" fillId="0" borderId="1" xfId="1" applyNumberFormat="1" applyFont="1" applyBorder="1"/>
    <xf numFmtId="2" fontId="11" fillId="0" borderId="1" xfId="1" applyNumberFormat="1" applyFont="1" applyBorder="1" applyAlignment="1">
      <alignment horizontal="left" vertical="center" wrapText="1"/>
    </xf>
    <xf numFmtId="2" fontId="10" fillId="0" borderId="7" xfId="1" applyNumberFormat="1" applyFont="1" applyBorder="1"/>
    <xf numFmtId="2" fontId="11" fillId="0" borderId="1" xfId="1" applyNumberFormat="1" applyFont="1" applyBorder="1" applyAlignment="1">
      <alignment horizontal="left" vertical="center"/>
    </xf>
    <xf numFmtId="2" fontId="11" fillId="0" borderId="7" xfId="1" applyNumberFormat="1" applyFont="1" applyBorder="1"/>
    <xf numFmtId="2" fontId="11" fillId="0" borderId="7" xfId="1" applyNumberFormat="1" applyFont="1" applyBorder="1" applyAlignment="1">
      <alignment horizontal="left" vertical="center"/>
    </xf>
    <xf numFmtId="2" fontId="10" fillId="0" borderId="7" xfId="1" applyNumberFormat="1" applyFont="1" applyBorder="1" applyAlignment="1">
      <alignment horizontal="left" vertical="center"/>
    </xf>
    <xf numFmtId="2" fontId="10" fillId="0" borderId="0" xfId="1" applyNumberFormat="1" applyFont="1"/>
    <xf numFmtId="2" fontId="10" fillId="0" borderId="7" xfId="1" applyNumberFormat="1" applyFont="1" applyFill="1" applyBorder="1"/>
    <xf numFmtId="0" fontId="10" fillId="0" borderId="7" xfId="1" applyFont="1" applyBorder="1"/>
    <xf numFmtId="2" fontId="10" fillId="0" borderId="7" xfId="1" applyNumberFormat="1" applyFont="1" applyBorder="1" applyAlignment="1">
      <alignment wrapText="1"/>
    </xf>
    <xf numFmtId="2" fontId="10" fillId="0" borderId="7" xfId="1" applyNumberFormat="1" applyFont="1" applyBorder="1" applyAlignment="1">
      <alignment horizontal="left" vertical="center" wrapText="1"/>
    </xf>
    <xf numFmtId="2" fontId="10" fillId="0" borderId="28" xfId="1" applyNumberFormat="1" applyFont="1" applyBorder="1" applyAlignment="1">
      <alignment horizontal="left" vertical="center" wrapText="1"/>
    </xf>
    <xf numFmtId="2" fontId="10" fillId="0" borderId="28" xfId="1" applyNumberFormat="1" applyFont="1" applyBorder="1" applyAlignment="1">
      <alignment horizontal="left" vertical="center"/>
    </xf>
    <xf numFmtId="2" fontId="10" fillId="0" borderId="5" xfId="1" applyNumberFormat="1" applyFont="1" applyBorder="1"/>
    <xf numFmtId="2" fontId="10" fillId="0" borderId="11" xfId="1" applyNumberFormat="1" applyFont="1" applyBorder="1"/>
    <xf numFmtId="2" fontId="11" fillId="2" borderId="46" xfId="1" applyNumberFormat="1" applyFont="1" applyFill="1" applyBorder="1"/>
    <xf numFmtId="2" fontId="13" fillId="6" borderId="15" xfId="1" applyNumberFormat="1" applyFont="1" applyFill="1" applyBorder="1"/>
    <xf numFmtId="2" fontId="13" fillId="6" borderId="15" xfId="1" applyNumberFormat="1" applyFont="1" applyFill="1" applyBorder="1" applyAlignment="1">
      <alignment horizontal="left" vertical="center"/>
    </xf>
    <xf numFmtId="1" fontId="3" fillId="0" borderId="51" xfId="1" applyNumberFormat="1" applyFont="1" applyFill="1" applyBorder="1" applyAlignment="1">
      <alignment horizontal="right" vertical="center"/>
    </xf>
    <xf numFmtId="1" fontId="2" fillId="2" borderId="16" xfId="1" applyNumberFormat="1" applyFont="1" applyFill="1" applyBorder="1" applyAlignment="1">
      <alignment horizontal="right" vertical="center"/>
    </xf>
    <xf numFmtId="0" fontId="22" fillId="2" borderId="4" xfId="0" applyFont="1" applyFill="1" applyBorder="1"/>
    <xf numFmtId="165" fontId="10" fillId="0" borderId="48" xfId="0" applyNumberFormat="1" applyFont="1" applyFill="1" applyBorder="1" applyAlignment="1">
      <alignment horizontal="center"/>
    </xf>
    <xf numFmtId="165" fontId="10" fillId="0" borderId="0" xfId="0" applyNumberFormat="1" applyFont="1" applyFill="1" applyAlignment="1">
      <alignment horizontal="center"/>
    </xf>
    <xf numFmtId="165" fontId="10" fillId="14" borderId="48" xfId="0" applyNumberFormat="1" applyFont="1" applyFill="1" applyBorder="1" applyAlignment="1">
      <alignment horizontal="left" vertical="center"/>
    </xf>
    <xf numFmtId="1" fontId="8" fillId="0" borderId="28" xfId="0" applyNumberFormat="1" applyFont="1" applyBorder="1" applyAlignment="1">
      <alignment vertical="center" shrinkToFit="1"/>
    </xf>
    <xf numFmtId="165" fontId="8" fillId="0" borderId="1" xfId="0" applyNumberFormat="1" applyFont="1" applyFill="1" applyBorder="1" applyAlignment="1">
      <alignment vertical="center" shrinkToFit="1"/>
    </xf>
    <xf numFmtId="165" fontId="8" fillId="0" borderId="8" xfId="0" applyNumberFormat="1" applyFont="1" applyFill="1" applyBorder="1" applyAlignment="1">
      <alignment vertical="center" shrinkToFit="1"/>
    </xf>
    <xf numFmtId="165" fontId="3" fillId="0" borderId="0" xfId="0" applyNumberFormat="1" applyFont="1" applyBorder="1" applyAlignment="1">
      <alignment horizontal="right" vertical="center"/>
    </xf>
    <xf numFmtId="0" fontId="11" fillId="0" borderId="5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164" fontId="8" fillId="4" borderId="36" xfId="0" applyNumberFormat="1" applyFont="1" applyFill="1" applyBorder="1" applyAlignment="1">
      <alignment vertical="center" shrinkToFit="1"/>
    </xf>
    <xf numFmtId="0" fontId="11" fillId="14" borderId="24" xfId="0" applyFont="1" applyFill="1" applyBorder="1" applyAlignment="1">
      <alignment vertical="center" wrapText="1"/>
    </xf>
    <xf numFmtId="165" fontId="8" fillId="0" borderId="37" xfId="0" applyNumberFormat="1" applyFont="1" applyBorder="1" applyAlignment="1">
      <alignment vertical="center" shrinkToFit="1"/>
    </xf>
    <xf numFmtId="165" fontId="11" fillId="8" borderId="37" xfId="0" applyNumberFormat="1" applyFont="1" applyFill="1" applyBorder="1" applyAlignment="1">
      <alignment vertical="center" shrinkToFit="1"/>
    </xf>
    <xf numFmtId="2" fontId="8" fillId="0" borderId="72" xfId="0" applyNumberFormat="1" applyFont="1" applyBorder="1" applyAlignment="1">
      <alignment vertical="center" shrinkToFit="1"/>
    </xf>
    <xf numFmtId="2" fontId="8" fillId="0" borderId="51" xfId="0" applyNumberFormat="1" applyFont="1" applyBorder="1" applyAlignment="1">
      <alignment vertical="center" shrinkToFit="1"/>
    </xf>
    <xf numFmtId="2" fontId="8" fillId="0" borderId="69" xfId="0" applyNumberFormat="1" applyFont="1" applyBorder="1" applyAlignment="1">
      <alignment vertical="center" shrinkToFit="1"/>
    </xf>
    <xf numFmtId="165" fontId="8" fillId="0" borderId="44" xfId="0" applyNumberFormat="1" applyFont="1" applyBorder="1" applyAlignment="1">
      <alignment vertical="center" shrinkToFit="1"/>
    </xf>
    <xf numFmtId="165" fontId="9" fillId="8" borderId="66" xfId="0" applyNumberFormat="1" applyFont="1" applyFill="1" applyBorder="1" applyAlignment="1">
      <alignment vertical="center" shrinkToFit="1"/>
    </xf>
    <xf numFmtId="165" fontId="8" fillId="4" borderId="71" xfId="0" applyNumberFormat="1" applyFont="1" applyFill="1" applyBorder="1" applyAlignment="1">
      <alignment vertical="center" shrinkToFit="1"/>
    </xf>
    <xf numFmtId="165" fontId="8" fillId="4" borderId="0" xfId="0" applyNumberFormat="1" applyFont="1" applyFill="1" applyBorder="1" applyAlignment="1">
      <alignment vertical="center" shrinkToFit="1"/>
    </xf>
    <xf numFmtId="165" fontId="8" fillId="0" borderId="20" xfId="0" applyNumberFormat="1" applyFont="1" applyBorder="1" applyAlignment="1">
      <alignment vertical="center" shrinkToFit="1"/>
    </xf>
    <xf numFmtId="165" fontId="8" fillId="0" borderId="52" xfId="0" applyNumberFormat="1" applyFont="1" applyBorder="1" applyAlignment="1">
      <alignment vertical="center" shrinkToFit="1"/>
    </xf>
    <xf numFmtId="165" fontId="8" fillId="0" borderId="52" xfId="0" applyNumberFormat="1" applyFont="1" applyFill="1" applyBorder="1" applyAlignment="1">
      <alignment vertical="center" shrinkToFit="1"/>
    </xf>
    <xf numFmtId="1" fontId="8" fillId="0" borderId="28" xfId="0" applyNumberFormat="1" applyFont="1" applyBorder="1" applyAlignment="1">
      <alignment horizontal="left"/>
    </xf>
    <xf numFmtId="165" fontId="9" fillId="8" borderId="35" xfId="0" applyNumberFormat="1" applyFont="1" applyFill="1" applyBorder="1" applyAlignment="1">
      <alignment vertical="center" shrinkToFit="1"/>
    </xf>
    <xf numFmtId="165" fontId="10" fillId="0" borderId="48" xfId="0" applyNumberFormat="1" applyFont="1" applyFill="1" applyBorder="1" applyAlignment="1">
      <alignment horizontal="center" vertical="center"/>
    </xf>
    <xf numFmtId="0" fontId="11" fillId="14" borderId="15" xfId="0" applyFont="1" applyFill="1" applyBorder="1" applyAlignment="1">
      <alignment vertical="center" wrapText="1"/>
    </xf>
    <xf numFmtId="165" fontId="9" fillId="8" borderId="67" xfId="0" applyNumberFormat="1" applyFont="1" applyFill="1" applyBorder="1" applyAlignment="1">
      <alignment vertical="center" shrinkToFit="1"/>
    </xf>
    <xf numFmtId="165" fontId="8" fillId="4" borderId="15" xfId="0" applyNumberFormat="1" applyFont="1" applyFill="1" applyBorder="1" applyAlignment="1">
      <alignment vertical="center" shrinkToFit="1"/>
    </xf>
    <xf numFmtId="165" fontId="8" fillId="19" borderId="1" xfId="0" applyNumberFormat="1" applyFont="1" applyFill="1" applyBorder="1" applyAlignment="1">
      <alignment vertical="center" shrinkToFit="1"/>
    </xf>
    <xf numFmtId="0" fontId="11" fillId="14" borderId="15" xfId="0" applyFont="1" applyFill="1" applyBorder="1" applyAlignment="1">
      <alignment horizontal="center" vertical="center" wrapText="1"/>
    </xf>
    <xf numFmtId="165" fontId="9" fillId="8" borderId="68" xfId="0" applyNumberFormat="1" applyFont="1" applyFill="1" applyBorder="1" applyAlignment="1">
      <alignment vertical="center" shrinkToFit="1"/>
    </xf>
    <xf numFmtId="165" fontId="8" fillId="5" borderId="59" xfId="0" applyNumberFormat="1" applyFont="1" applyFill="1" applyBorder="1" applyAlignment="1">
      <alignment vertical="center" shrinkToFit="1"/>
    </xf>
    <xf numFmtId="165" fontId="8" fillId="4" borderId="16" xfId="0" applyNumberFormat="1" applyFont="1" applyFill="1" applyBorder="1" applyAlignment="1">
      <alignment vertical="center" shrinkToFit="1"/>
    </xf>
    <xf numFmtId="165" fontId="8" fillId="4" borderId="66" xfId="0" applyNumberFormat="1" applyFont="1" applyFill="1" applyBorder="1" applyAlignment="1">
      <alignment vertical="center" shrinkToFit="1"/>
    </xf>
    <xf numFmtId="164" fontId="8" fillId="20" borderId="35" xfId="0" applyNumberFormat="1" applyFont="1" applyFill="1" applyBorder="1" applyAlignment="1">
      <alignment vertical="center" shrinkToFit="1"/>
    </xf>
    <xf numFmtId="165" fontId="8" fillId="5" borderId="69" xfId="0" applyNumberFormat="1" applyFont="1" applyFill="1" applyBorder="1" applyAlignment="1">
      <alignment vertical="center" shrinkToFit="1"/>
    </xf>
    <xf numFmtId="165" fontId="8" fillId="19" borderId="15" xfId="0" applyNumberFormat="1" applyFont="1" applyFill="1" applyBorder="1" applyAlignment="1">
      <alignment vertical="center" shrinkToFit="1"/>
    </xf>
    <xf numFmtId="165" fontId="8" fillId="0" borderId="11" xfId="0" applyNumberFormat="1" applyFont="1" applyBorder="1" applyAlignment="1">
      <alignment vertical="center" shrinkToFit="1"/>
    </xf>
    <xf numFmtId="1" fontId="8" fillId="0" borderId="11" xfId="0" applyNumberFormat="1" applyFont="1" applyBorder="1" applyAlignment="1">
      <alignment vertical="center" shrinkToFit="1"/>
    </xf>
    <xf numFmtId="165" fontId="8" fillId="0" borderId="11" xfId="0" applyNumberFormat="1" applyFont="1" applyFill="1" applyBorder="1" applyAlignment="1">
      <alignment vertical="center" shrinkToFit="1"/>
    </xf>
    <xf numFmtId="165" fontId="8" fillId="0" borderId="2" xfId="0" applyNumberFormat="1" applyFont="1" applyBorder="1" applyAlignment="1">
      <alignment vertical="center" shrinkToFit="1"/>
    </xf>
    <xf numFmtId="165" fontId="8" fillId="0" borderId="66" xfId="0" applyNumberFormat="1" applyFont="1" applyBorder="1" applyAlignment="1">
      <alignment vertical="center" shrinkToFit="1"/>
    </xf>
    <xf numFmtId="2" fontId="8" fillId="0" borderId="12" xfId="0" applyNumberFormat="1" applyFont="1" applyBorder="1" applyAlignment="1">
      <alignment vertical="center" shrinkToFit="1"/>
    </xf>
    <xf numFmtId="165" fontId="9" fillId="8" borderId="2" xfId="0" applyNumberFormat="1" applyFont="1" applyFill="1" applyBorder="1" applyAlignment="1">
      <alignment vertical="center" shrinkToFit="1"/>
    </xf>
    <xf numFmtId="165" fontId="8" fillId="5" borderId="12" xfId="0" applyNumberFormat="1" applyFont="1" applyFill="1" applyBorder="1" applyAlignment="1">
      <alignment vertical="center" shrinkToFit="1"/>
    </xf>
    <xf numFmtId="165" fontId="8" fillId="4" borderId="2" xfId="0" applyNumberFormat="1" applyFont="1" applyFill="1" applyBorder="1" applyAlignment="1">
      <alignment vertical="center" shrinkToFit="1"/>
    </xf>
    <xf numFmtId="165" fontId="11" fillId="0" borderId="32" xfId="0" applyNumberFormat="1" applyFont="1" applyBorder="1" applyAlignment="1">
      <alignment horizontal="left" vertical="center" wrapText="1"/>
    </xf>
    <xf numFmtId="1" fontId="8" fillId="0" borderId="51" xfId="0" applyNumberFormat="1" applyFont="1" applyBorder="1" applyAlignment="1">
      <alignment vertical="center" shrinkToFit="1"/>
    </xf>
    <xf numFmtId="165" fontId="8" fillId="0" borderId="55" xfId="0" applyNumberFormat="1" applyFont="1" applyBorder="1" applyAlignment="1">
      <alignment vertical="center" shrinkToFit="1"/>
    </xf>
    <xf numFmtId="165" fontId="8" fillId="5" borderId="77" xfId="0" applyNumberFormat="1" applyFont="1" applyFill="1" applyBorder="1" applyAlignment="1">
      <alignment vertical="center" shrinkToFit="1"/>
    </xf>
    <xf numFmtId="164" fontId="8" fillId="4" borderId="70" xfId="0" applyNumberFormat="1" applyFont="1" applyFill="1" applyBorder="1" applyAlignment="1">
      <alignment vertical="center" shrinkToFit="1"/>
    </xf>
    <xf numFmtId="166" fontId="8" fillId="0" borderId="38" xfId="0" applyNumberFormat="1" applyFont="1" applyBorder="1"/>
    <xf numFmtId="1" fontId="8" fillId="0" borderId="51" xfId="0" applyNumberFormat="1" applyFont="1" applyBorder="1" applyAlignment="1">
      <alignment horizontal="left"/>
    </xf>
    <xf numFmtId="165" fontId="8" fillId="0" borderId="20" xfId="0" applyNumberFormat="1" applyFont="1" applyFill="1" applyBorder="1" applyAlignment="1">
      <alignment vertical="center" shrinkToFit="1"/>
    </xf>
    <xf numFmtId="165" fontId="8" fillId="5" borderId="60" xfId="0" applyNumberFormat="1" applyFont="1" applyFill="1" applyBorder="1" applyAlignment="1">
      <alignment vertical="center" shrinkToFit="1"/>
    </xf>
    <xf numFmtId="165" fontId="8" fillId="4" borderId="3" xfId="0" applyNumberFormat="1" applyFont="1" applyFill="1" applyBorder="1" applyAlignment="1">
      <alignment vertical="center" shrinkToFit="1"/>
    </xf>
    <xf numFmtId="165" fontId="8" fillId="4" borderId="54" xfId="0" applyNumberFormat="1" applyFont="1" applyFill="1" applyBorder="1" applyAlignment="1">
      <alignment vertical="center" shrinkToFit="1"/>
    </xf>
    <xf numFmtId="0" fontId="9" fillId="14" borderId="35" xfId="0" applyFont="1" applyFill="1" applyBorder="1" applyAlignment="1">
      <alignment vertical="center" wrapText="1"/>
    </xf>
    <xf numFmtId="1" fontId="8" fillId="0" borderId="20" xfId="0" applyNumberFormat="1" applyFont="1" applyBorder="1" applyAlignment="1">
      <alignment vertical="center" shrinkToFit="1"/>
    </xf>
    <xf numFmtId="165" fontId="8" fillId="0" borderId="35" xfId="0" applyNumberFormat="1" applyFont="1" applyBorder="1" applyAlignment="1">
      <alignment vertical="center" shrinkToFit="1"/>
    </xf>
    <xf numFmtId="165" fontId="8" fillId="0" borderId="5" xfId="0" applyNumberFormat="1" applyFont="1" applyFill="1" applyBorder="1" applyAlignment="1">
      <alignment vertical="center" shrinkToFit="1"/>
    </xf>
    <xf numFmtId="165" fontId="8" fillId="5" borderId="15" xfId="0" applyNumberFormat="1" applyFont="1" applyFill="1" applyBorder="1" applyAlignment="1">
      <alignment vertical="center" shrinkToFit="1"/>
    </xf>
    <xf numFmtId="165" fontId="8" fillId="5" borderId="37" xfId="0" applyNumberFormat="1" applyFont="1" applyFill="1" applyBorder="1" applyAlignment="1">
      <alignment vertical="center" shrinkToFit="1"/>
    </xf>
    <xf numFmtId="165" fontId="8" fillId="5" borderId="67" xfId="0" applyNumberFormat="1" applyFont="1" applyFill="1" applyBorder="1" applyAlignment="1">
      <alignment vertical="center" shrinkToFit="1"/>
    </xf>
    <xf numFmtId="165" fontId="8" fillId="5" borderId="66" xfId="0" applyNumberFormat="1" applyFont="1" applyFill="1" applyBorder="1" applyAlignment="1">
      <alignment vertical="center" shrinkToFit="1"/>
    </xf>
    <xf numFmtId="165" fontId="8" fillId="5" borderId="2" xfId="0" applyNumberFormat="1" applyFont="1" applyFill="1" applyBorder="1" applyAlignment="1">
      <alignment vertical="center" shrinkToFit="1"/>
    </xf>
    <xf numFmtId="165" fontId="8" fillId="5" borderId="17" xfId="0" applyNumberFormat="1" applyFont="1" applyFill="1" applyBorder="1" applyAlignment="1">
      <alignment vertical="center" shrinkToFit="1"/>
    </xf>
    <xf numFmtId="165" fontId="8" fillId="5" borderId="3" xfId="0" applyNumberFormat="1" applyFont="1" applyFill="1" applyBorder="1" applyAlignment="1">
      <alignment vertical="center" shrinkToFit="1"/>
    </xf>
    <xf numFmtId="0" fontId="11" fillId="14" borderId="14" xfId="0" applyFont="1" applyFill="1" applyBorder="1" applyAlignment="1">
      <alignment vertical="center" wrapText="1"/>
    </xf>
    <xf numFmtId="165" fontId="9" fillId="0" borderId="15" xfId="0" applyNumberFormat="1" applyFont="1" applyBorder="1" applyAlignment="1">
      <alignment vertical="center" shrinkToFit="1"/>
    </xf>
    <xf numFmtId="165" fontId="9" fillId="0" borderId="1" xfId="0" applyNumberFormat="1" applyFont="1" applyBorder="1" applyAlignment="1">
      <alignment vertical="center" shrinkToFit="1"/>
    </xf>
    <xf numFmtId="165" fontId="9" fillId="0" borderId="7" xfId="0" applyNumberFormat="1" applyFont="1" applyFill="1" applyBorder="1" applyAlignment="1">
      <alignment vertical="center" shrinkToFit="1"/>
    </xf>
    <xf numFmtId="165" fontId="9" fillId="0" borderId="14" xfId="0" applyNumberFormat="1" applyFont="1" applyBorder="1" applyAlignment="1">
      <alignment vertical="center" shrinkToFit="1"/>
    </xf>
    <xf numFmtId="165" fontId="9" fillId="0" borderId="1" xfId="0" applyNumberFormat="1" applyFont="1" applyFill="1" applyBorder="1" applyAlignment="1">
      <alignment vertical="center" shrinkToFit="1"/>
    </xf>
    <xf numFmtId="165" fontId="9" fillId="5" borderId="44" xfId="0" applyNumberFormat="1" applyFont="1" applyFill="1" applyBorder="1" applyAlignment="1">
      <alignment vertical="center" shrinkToFit="1"/>
    </xf>
    <xf numFmtId="165" fontId="9" fillId="4" borderId="35" xfId="0" applyNumberFormat="1" applyFont="1" applyFill="1" applyBorder="1" applyAlignment="1">
      <alignment vertical="center" shrinkToFit="1"/>
    </xf>
    <xf numFmtId="165" fontId="9" fillId="0" borderId="0" xfId="0" applyNumberFormat="1" applyFont="1" applyAlignment="1">
      <alignment vertical="center" shrinkToFit="1"/>
    </xf>
    <xf numFmtId="0" fontId="9" fillId="0" borderId="0" xfId="0" applyFont="1" applyAlignment="1">
      <alignment vertical="center"/>
    </xf>
    <xf numFmtId="164" fontId="8" fillId="4" borderId="35" xfId="0" applyNumberFormat="1" applyFont="1" applyFill="1" applyBorder="1" applyAlignment="1">
      <alignment vertical="center" shrinkToFit="1"/>
    </xf>
    <xf numFmtId="165" fontId="8" fillId="4" borderId="46" xfId="0" applyNumberFormat="1" applyFont="1" applyFill="1" applyBorder="1" applyAlignment="1">
      <alignment vertical="center" shrinkToFit="1"/>
    </xf>
    <xf numFmtId="165" fontId="8" fillId="0" borderId="43" xfId="0" applyNumberFormat="1" applyFont="1" applyFill="1" applyBorder="1" applyAlignment="1">
      <alignment vertical="center" shrinkToFit="1"/>
    </xf>
    <xf numFmtId="165" fontId="8" fillId="0" borderId="0" xfId="0" applyNumberFormat="1" applyFont="1" applyFill="1" applyBorder="1" applyAlignment="1">
      <alignment vertical="center" shrinkToFit="1"/>
    </xf>
    <xf numFmtId="165" fontId="8" fillId="0" borderId="60" xfId="0" applyNumberFormat="1" applyFont="1" applyFill="1" applyBorder="1" applyAlignment="1">
      <alignment vertical="center" shrinkToFit="1"/>
    </xf>
    <xf numFmtId="165" fontId="8" fillId="0" borderId="34" xfId="0" applyNumberFormat="1" applyFont="1" applyFill="1" applyBorder="1" applyAlignment="1">
      <alignment vertical="center" shrinkToFit="1"/>
    </xf>
    <xf numFmtId="165" fontId="8" fillId="0" borderId="36" xfId="0" applyNumberFormat="1" applyFont="1" applyFill="1" applyBorder="1" applyAlignment="1">
      <alignment vertical="center" shrinkToFit="1"/>
    </xf>
    <xf numFmtId="165" fontId="8" fillId="0" borderId="54" xfId="0" applyNumberFormat="1" applyFont="1" applyFill="1" applyBorder="1" applyAlignment="1">
      <alignment vertical="center" shrinkToFit="1"/>
    </xf>
    <xf numFmtId="165" fontId="8" fillId="0" borderId="0" xfId="0" applyNumberFormat="1" applyFont="1" applyFill="1" applyAlignment="1">
      <alignment vertical="center" shrinkToFit="1"/>
    </xf>
    <xf numFmtId="165" fontId="8" fillId="0" borderId="0" xfId="0" quotePrefix="1" applyNumberFormat="1" applyFont="1" applyAlignment="1">
      <alignment vertical="center" shrinkToFit="1"/>
    </xf>
    <xf numFmtId="2" fontId="8" fillId="0" borderId="0" xfId="0" applyNumberFormat="1" applyFont="1" applyFill="1" applyAlignment="1">
      <alignment vertical="center" shrinkToFit="1"/>
    </xf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/>
    <xf numFmtId="0" fontId="7" fillId="0" borderId="45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2" fillId="0" borderId="7" xfId="0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left"/>
    </xf>
    <xf numFmtId="1" fontId="3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8" xfId="0" applyFont="1" applyFill="1" applyBorder="1"/>
    <xf numFmtId="165" fontId="2" fillId="0" borderId="0" xfId="0" applyNumberFormat="1" applyFont="1" applyFill="1"/>
    <xf numFmtId="1" fontId="3" fillId="0" borderId="7" xfId="0" applyNumberFormat="1" applyFont="1" applyFill="1" applyBorder="1"/>
    <xf numFmtId="1" fontId="3" fillId="0" borderId="8" xfId="0" applyNumberFormat="1" applyFont="1" applyFill="1" applyBorder="1"/>
    <xf numFmtId="1" fontId="3" fillId="0" borderId="0" xfId="0" applyNumberFormat="1" applyFont="1" applyFill="1"/>
    <xf numFmtId="164" fontId="3" fillId="0" borderId="0" xfId="0" applyNumberFormat="1" applyFont="1" applyFill="1"/>
    <xf numFmtId="0" fontId="2" fillId="0" borderId="8" xfId="0" applyFont="1" applyFill="1" applyBorder="1" applyAlignment="1">
      <alignment wrapText="1"/>
    </xf>
    <xf numFmtId="0" fontId="2" fillId="0" borderId="44" xfId="0" applyFont="1" applyFill="1" applyBorder="1" applyAlignment="1">
      <alignment horizontal="center" vertical="center"/>
    </xf>
    <xf numFmtId="2" fontId="2" fillId="0" borderId="0" xfId="0" applyNumberFormat="1" applyFont="1" applyFill="1"/>
    <xf numFmtId="0" fontId="2" fillId="0" borderId="51" xfId="0" applyFont="1" applyFill="1" applyBorder="1"/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4" fontId="2" fillId="0" borderId="16" xfId="0" applyNumberFormat="1" applyFont="1" applyFill="1" applyBorder="1" applyAlignment="1">
      <alignment horizontal="center" vertical="center"/>
    </xf>
    <xf numFmtId="166" fontId="9" fillId="0" borderId="30" xfId="0" applyNumberFormat="1" applyFont="1" applyBorder="1"/>
    <xf numFmtId="166" fontId="8" fillId="0" borderId="7" xfId="0" applyNumberFormat="1" applyFont="1" applyFill="1" applyBorder="1"/>
    <xf numFmtId="166" fontId="8" fillId="0" borderId="8" xfId="0" applyNumberFormat="1" applyFont="1" applyFill="1" applyBorder="1"/>
    <xf numFmtId="165" fontId="8" fillId="4" borderId="67" xfId="0" applyNumberFormat="1" applyFont="1" applyFill="1" applyBorder="1" applyAlignment="1">
      <alignment vertical="center" shrinkToFit="1"/>
    </xf>
    <xf numFmtId="164" fontId="8" fillId="4" borderId="47" xfId="0" applyNumberFormat="1" applyFont="1" applyFill="1" applyBorder="1" applyAlignment="1">
      <alignment vertical="center" shrinkToFit="1"/>
    </xf>
    <xf numFmtId="165" fontId="9" fillId="0" borderId="30" xfId="0" applyNumberFormat="1" applyFont="1" applyBorder="1"/>
    <xf numFmtId="166" fontId="9" fillId="0" borderId="7" xfId="0" applyNumberFormat="1" applyFont="1" applyBorder="1"/>
    <xf numFmtId="166" fontId="9" fillId="0" borderId="8" xfId="0" applyNumberFormat="1" applyFont="1" applyBorder="1"/>
    <xf numFmtId="166" fontId="8" fillId="0" borderId="0" xfId="0" applyNumberFormat="1" applyFont="1" applyFill="1"/>
    <xf numFmtId="0" fontId="22" fillId="0" borderId="30" xfId="0" applyFont="1" applyBorder="1"/>
    <xf numFmtId="0" fontId="2" fillId="0" borderId="25" xfId="0" applyFont="1" applyBorder="1"/>
    <xf numFmtId="166" fontId="9" fillId="0" borderId="30" xfId="0" applyNumberFormat="1" applyFont="1" applyFill="1" applyBorder="1"/>
    <xf numFmtId="166" fontId="9" fillId="0" borderId="8" xfId="0" applyNumberFormat="1" applyFont="1" applyFill="1" applyBorder="1"/>
    <xf numFmtId="165" fontId="8" fillId="0" borderId="30" xfId="0" applyNumberFormat="1" applyFont="1" applyFill="1" applyBorder="1" applyAlignment="1">
      <alignment vertical="center" shrinkToFit="1"/>
    </xf>
    <xf numFmtId="165" fontId="8" fillId="0" borderId="28" xfId="0" applyNumberFormat="1" applyFont="1" applyFill="1" applyBorder="1" applyAlignment="1">
      <alignment vertical="center" shrinkToFit="1"/>
    </xf>
    <xf numFmtId="1" fontId="8" fillId="0" borderId="30" xfId="0" applyNumberFormat="1" applyFont="1" applyFill="1" applyBorder="1" applyAlignment="1">
      <alignment horizontal="left" vertical="center"/>
    </xf>
    <xf numFmtId="1" fontId="28" fillId="0" borderId="7" xfId="0" applyNumberFormat="1" applyFont="1" applyFill="1" applyBorder="1" applyAlignment="1">
      <alignment horizontal="left"/>
    </xf>
    <xf numFmtId="1" fontId="8" fillId="0" borderId="8" xfId="0" applyNumberFormat="1" applyFont="1" applyFill="1" applyBorder="1"/>
    <xf numFmtId="1" fontId="8" fillId="0" borderId="30" xfId="0" applyNumberFormat="1" applyFont="1" applyFill="1" applyBorder="1"/>
    <xf numFmtId="1" fontId="8" fillId="0" borderId="7" xfId="0" applyNumberFormat="1" applyFont="1" applyFill="1" applyBorder="1"/>
    <xf numFmtId="1" fontId="8" fillId="0" borderId="0" xfId="0" applyNumberFormat="1" applyFont="1" applyFill="1"/>
    <xf numFmtId="165" fontId="8" fillId="0" borderId="30" xfId="0" applyNumberFormat="1" applyFont="1" applyFill="1" applyBorder="1" applyAlignment="1">
      <alignment horizontal="left" vertical="center"/>
    </xf>
    <xf numFmtId="0" fontId="8" fillId="0" borderId="0" xfId="0" applyFont="1" applyFill="1"/>
    <xf numFmtId="165" fontId="9" fillId="0" borderId="30" xfId="0" applyNumberFormat="1" applyFont="1" applyFill="1" applyBorder="1"/>
    <xf numFmtId="166" fontId="9" fillId="0" borderId="7" xfId="0" applyNumberFormat="1" applyFont="1" applyFill="1" applyBorder="1"/>
    <xf numFmtId="0" fontId="9" fillId="0" borderId="0" xfId="0" applyFont="1" applyFill="1"/>
    <xf numFmtId="2" fontId="8" fillId="0" borderId="30" xfId="0" applyNumberFormat="1" applyFont="1" applyFill="1" applyBorder="1" applyAlignment="1">
      <alignment horizontal="left" vertical="center" wrapText="1"/>
    </xf>
    <xf numFmtId="1" fontId="8" fillId="0" borderId="7" xfId="0" applyNumberFormat="1" applyFont="1" applyFill="1" applyBorder="1" applyAlignment="1">
      <alignment vertical="center" shrinkToFit="1"/>
    </xf>
    <xf numFmtId="1" fontId="8" fillId="0" borderId="9" xfId="0" applyNumberFormat="1" applyFont="1" applyFill="1" applyBorder="1" applyAlignment="1">
      <alignment vertical="center" shrinkToFit="1"/>
    </xf>
    <xf numFmtId="1" fontId="8" fillId="0" borderId="8" xfId="0" applyNumberFormat="1" applyFont="1" applyFill="1" applyBorder="1" applyAlignment="1">
      <alignment vertical="center" shrinkToFit="1"/>
    </xf>
    <xf numFmtId="1" fontId="8" fillId="0" borderId="31" xfId="0" applyNumberFormat="1" applyFont="1" applyFill="1" applyBorder="1" applyAlignment="1">
      <alignment vertical="center" shrinkToFit="1"/>
    </xf>
    <xf numFmtId="1" fontId="8" fillId="0" borderId="48" xfId="0" applyNumberFormat="1" applyFont="1" applyFill="1" applyBorder="1" applyAlignment="1">
      <alignment vertical="center" shrinkToFit="1"/>
    </xf>
    <xf numFmtId="1" fontId="8" fillId="0" borderId="11" xfId="0" applyNumberFormat="1" applyFont="1" applyFill="1" applyBorder="1" applyAlignment="1">
      <alignment vertical="center" shrinkToFit="1"/>
    </xf>
    <xf numFmtId="1" fontId="8" fillId="0" borderId="0" xfId="0" applyNumberFormat="1" applyFont="1" applyFill="1" applyAlignment="1">
      <alignment vertical="center"/>
    </xf>
    <xf numFmtId="0" fontId="11" fillId="0" borderId="0" xfId="0" applyFont="1"/>
    <xf numFmtId="0" fontId="10" fillId="0" borderId="0" xfId="0" applyFont="1"/>
    <xf numFmtId="2" fontId="10" fillId="0" borderId="0" xfId="0" applyNumberFormat="1" applyFont="1"/>
    <xf numFmtId="164" fontId="10" fillId="0" borderId="0" xfId="0" applyNumberFormat="1" applyFont="1"/>
    <xf numFmtId="1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4" fontId="11" fillId="0" borderId="0" xfId="0" applyNumberFormat="1" applyFont="1"/>
    <xf numFmtId="1" fontId="11" fillId="0" borderId="0" xfId="0" applyNumberFormat="1" applyFont="1"/>
    <xf numFmtId="165" fontId="11" fillId="0" borderId="0" xfId="0" applyNumberFormat="1" applyFont="1"/>
    <xf numFmtId="164" fontId="11" fillId="0" borderId="3" xfId="0" applyNumberFormat="1" applyFont="1" applyBorder="1" applyAlignment="1">
      <alignment horizontal="center" vertical="center"/>
    </xf>
    <xf numFmtId="165" fontId="11" fillId="0" borderId="56" xfId="0" applyNumberFormat="1" applyFont="1" applyBorder="1" applyAlignment="1">
      <alignment horizontal="center" vertical="center" wrapText="1"/>
    </xf>
    <xf numFmtId="165" fontId="11" fillId="0" borderId="24" xfId="0" applyNumberFormat="1" applyFont="1" applyBorder="1" applyAlignment="1">
      <alignment horizontal="center" vertical="center" wrapText="1"/>
    </xf>
    <xf numFmtId="0" fontId="11" fillId="0" borderId="75" xfId="0" applyFont="1" applyBorder="1" applyAlignment="1">
      <alignment horizontal="center"/>
    </xf>
    <xf numFmtId="2" fontId="11" fillId="0" borderId="61" xfId="0" applyNumberFormat="1" applyFont="1" applyBorder="1" applyAlignment="1">
      <alignment horizontal="center"/>
    </xf>
    <xf numFmtId="164" fontId="11" fillId="0" borderId="76" xfId="0" applyNumberFormat="1" applyFont="1" applyBorder="1" applyAlignment="1">
      <alignment horizontal="center"/>
    </xf>
    <xf numFmtId="164" fontId="11" fillId="0" borderId="75" xfId="0" applyNumberFormat="1" applyFont="1" applyBorder="1" applyAlignment="1">
      <alignment horizontal="center"/>
    </xf>
    <xf numFmtId="164" fontId="11" fillId="0" borderId="61" xfId="0" applyNumberFormat="1" applyFont="1" applyBorder="1" applyAlignment="1">
      <alignment horizontal="center"/>
    </xf>
    <xf numFmtId="164" fontId="11" fillId="0" borderId="71" xfId="0" applyNumberFormat="1" applyFont="1" applyBorder="1" applyAlignment="1">
      <alignment horizontal="center"/>
    </xf>
    <xf numFmtId="164" fontId="11" fillId="0" borderId="60" xfId="0" applyNumberFormat="1" applyFont="1" applyBorder="1" applyAlignment="1">
      <alignment horizontal="center"/>
    </xf>
    <xf numFmtId="0" fontId="11" fillId="0" borderId="71" xfId="0" applyFont="1" applyBorder="1" applyAlignment="1">
      <alignment horizontal="center"/>
    </xf>
    <xf numFmtId="1" fontId="11" fillId="0" borderId="75" xfId="0" applyNumberFormat="1" applyFont="1" applyBorder="1" applyAlignment="1">
      <alignment horizontal="center"/>
    </xf>
    <xf numFmtId="1" fontId="11" fillId="0" borderId="71" xfId="0" applyNumberFormat="1" applyFont="1" applyBorder="1" applyAlignment="1">
      <alignment horizontal="center"/>
    </xf>
    <xf numFmtId="1" fontId="11" fillId="0" borderId="76" xfId="0" applyNumberFormat="1" applyFont="1" applyBorder="1" applyAlignment="1">
      <alignment horizontal="center"/>
    </xf>
    <xf numFmtId="1" fontId="11" fillId="0" borderId="44" xfId="0" applyNumberFormat="1" applyFont="1" applyBorder="1" applyAlignment="1">
      <alignment horizontal="center"/>
    </xf>
    <xf numFmtId="165" fontId="11" fillId="0" borderId="75" xfId="0" applyNumberFormat="1" applyFont="1" applyBorder="1" applyAlignment="1">
      <alignment horizontal="center"/>
    </xf>
    <xf numFmtId="165" fontId="11" fillId="0" borderId="77" xfId="0" applyNumberFormat="1" applyFont="1" applyBorder="1" applyAlignment="1">
      <alignment horizontal="center"/>
    </xf>
    <xf numFmtId="165" fontId="11" fillId="0" borderId="61" xfId="0" applyNumberFormat="1" applyFont="1" applyBorder="1" applyAlignment="1">
      <alignment horizontal="center"/>
    </xf>
    <xf numFmtId="0" fontId="11" fillId="0" borderId="39" xfId="0" applyFont="1" applyBorder="1"/>
    <xf numFmtId="1" fontId="10" fillId="0" borderId="50" xfId="0" applyNumberFormat="1" applyFont="1" applyBorder="1" applyAlignment="1">
      <alignment shrinkToFit="1"/>
    </xf>
    <xf numFmtId="164" fontId="10" fillId="0" borderId="73" xfId="0" applyNumberFormat="1" applyFont="1" applyBorder="1" applyAlignment="1">
      <alignment shrinkToFit="1"/>
    </xf>
    <xf numFmtId="1" fontId="10" fillId="0" borderId="18" xfId="0" applyNumberFormat="1" applyFont="1" applyBorder="1" applyAlignment="1">
      <alignment shrinkToFit="1"/>
    </xf>
    <xf numFmtId="164" fontId="10" fillId="0" borderId="19" xfId="0" applyNumberFormat="1" applyFont="1" applyBorder="1" applyAlignment="1">
      <alignment shrinkToFit="1"/>
    </xf>
    <xf numFmtId="1" fontId="10" fillId="0" borderId="4" xfId="0" applyNumberFormat="1" applyFont="1" applyBorder="1" applyAlignment="1">
      <alignment shrinkToFit="1"/>
    </xf>
    <xf numFmtId="2" fontId="10" fillId="0" borderId="45" xfId="0" applyNumberFormat="1" applyFont="1" applyFill="1" applyBorder="1" applyAlignment="1">
      <alignment shrinkToFit="1"/>
    </xf>
    <xf numFmtId="165" fontId="10" fillId="0" borderId="18" xfId="0" applyNumberFormat="1" applyFont="1" applyFill="1" applyBorder="1" applyAlignment="1">
      <alignment shrinkToFit="1"/>
    </xf>
    <xf numFmtId="165" fontId="10" fillId="0" borderId="55" xfId="0" applyNumberFormat="1" applyFont="1" applyFill="1" applyBorder="1" applyAlignment="1">
      <alignment shrinkToFit="1"/>
    </xf>
    <xf numFmtId="165" fontId="10" fillId="0" borderId="19" xfId="0" applyNumberFormat="1" applyFont="1" applyFill="1" applyBorder="1" applyAlignment="1">
      <alignment shrinkToFit="1"/>
    </xf>
    <xf numFmtId="165" fontId="10" fillId="0" borderId="74" xfId="0" applyNumberFormat="1" applyFont="1" applyFill="1" applyBorder="1" applyAlignment="1">
      <alignment shrinkToFit="1"/>
    </xf>
    <xf numFmtId="0" fontId="11" fillId="0" borderId="30" xfId="0" applyFont="1" applyBorder="1"/>
    <xf numFmtId="1" fontId="10" fillId="0" borderId="9" xfId="0" applyNumberFormat="1" applyFont="1" applyBorder="1" applyAlignment="1">
      <alignment shrinkToFit="1"/>
    </xf>
    <xf numFmtId="164" fontId="10" fillId="0" borderId="31" xfId="0" applyNumberFormat="1" applyFont="1" applyBorder="1" applyAlignment="1">
      <alignment shrinkToFit="1"/>
    </xf>
    <xf numFmtId="1" fontId="10" fillId="0" borderId="11" xfId="0" applyNumberFormat="1" applyFont="1" applyBorder="1" applyAlignment="1">
      <alignment shrinkToFit="1"/>
    </xf>
    <xf numFmtId="164" fontId="10" fillId="0" borderId="10" xfId="0" applyNumberFormat="1" applyFont="1" applyBorder="1" applyAlignment="1">
      <alignment shrinkToFit="1"/>
    </xf>
    <xf numFmtId="1" fontId="10" fillId="0" borderId="7" xfId="0" applyNumberFormat="1" applyFont="1" applyBorder="1" applyAlignment="1">
      <alignment shrinkToFit="1"/>
    </xf>
    <xf numFmtId="165" fontId="10" fillId="0" borderId="11" xfId="0" applyNumberFormat="1" applyFont="1" applyFill="1" applyBorder="1" applyAlignment="1">
      <alignment shrinkToFit="1"/>
    </xf>
    <xf numFmtId="165" fontId="10" fillId="0" borderId="48" xfId="0" applyNumberFormat="1" applyFont="1" applyFill="1" applyBorder="1" applyAlignment="1">
      <alignment shrinkToFit="1"/>
    </xf>
    <xf numFmtId="165" fontId="10" fillId="0" borderId="10" xfId="0" applyNumberFormat="1" applyFont="1" applyFill="1" applyBorder="1" applyAlignment="1">
      <alignment shrinkToFit="1"/>
    </xf>
    <xf numFmtId="165" fontId="10" fillId="0" borderId="20" xfId="0" applyNumberFormat="1" applyFont="1" applyFill="1" applyBorder="1" applyAlignment="1">
      <alignment shrinkToFit="1"/>
    </xf>
    <xf numFmtId="0" fontId="13" fillId="0" borderId="41" xfId="0" applyFont="1" applyBorder="1"/>
    <xf numFmtId="1" fontId="12" fillId="0" borderId="25" xfId="0" applyNumberFormat="1" applyFont="1" applyBorder="1" applyAlignment="1">
      <alignment shrinkToFit="1"/>
    </xf>
    <xf numFmtId="0" fontId="12" fillId="0" borderId="0" xfId="0" applyFont="1"/>
    <xf numFmtId="16" fontId="11" fillId="0" borderId="39" xfId="0" applyNumberFormat="1" applyFont="1" applyBorder="1"/>
    <xf numFmtId="165" fontId="10" fillId="0" borderId="52" xfId="0" applyNumberFormat="1" applyFont="1" applyFill="1" applyBorder="1" applyAlignment="1">
      <alignment shrinkToFit="1"/>
    </xf>
    <xf numFmtId="16" fontId="11" fillId="0" borderId="39" xfId="0" applyNumberFormat="1" applyFont="1" applyFill="1" applyBorder="1"/>
    <xf numFmtId="0" fontId="10" fillId="0" borderId="0" xfId="0" applyFont="1" applyFill="1"/>
    <xf numFmtId="0" fontId="11" fillId="0" borderId="30" xfId="0" applyFont="1" applyFill="1" applyBorder="1"/>
    <xf numFmtId="0" fontId="11" fillId="0" borderId="39" xfId="0" applyFont="1" applyBorder="1" applyAlignment="1">
      <alignment wrapText="1"/>
    </xf>
    <xf numFmtId="1" fontId="10" fillId="0" borderId="48" xfId="0" applyNumberFormat="1" applyFont="1" applyFill="1" applyBorder="1"/>
    <xf numFmtId="0" fontId="11" fillId="0" borderId="16" xfId="0" applyFont="1" applyBorder="1" applyAlignment="1">
      <alignment wrapText="1"/>
    </xf>
    <xf numFmtId="1" fontId="11" fillId="0" borderId="15" xfId="0" applyNumberFormat="1" applyFont="1" applyBorder="1" applyAlignment="1">
      <alignment shrinkToFit="1"/>
    </xf>
    <xf numFmtId="0" fontId="11" fillId="0" borderId="22" xfId="0" applyFont="1" applyBorder="1"/>
    <xf numFmtId="165" fontId="10" fillId="0" borderId="48" xfId="0" applyNumberFormat="1" applyFont="1" applyBorder="1" applyAlignment="1">
      <alignment wrapText="1"/>
    </xf>
    <xf numFmtId="165" fontId="10" fillId="0" borderId="0" xfId="0" applyNumberFormat="1" applyFont="1" applyAlignment="1">
      <alignment wrapText="1"/>
    </xf>
    <xf numFmtId="165" fontId="10" fillId="0" borderId="48" xfId="0" applyNumberFormat="1" applyFont="1" applyBorder="1"/>
    <xf numFmtId="165" fontId="10" fillId="0" borderId="31" xfId="0" applyNumberFormat="1" applyFont="1" applyBorder="1" applyAlignment="1"/>
    <xf numFmtId="165" fontId="10" fillId="0" borderId="31" xfId="0" applyNumberFormat="1" applyFont="1" applyBorder="1" applyAlignment="1">
      <alignment wrapText="1"/>
    </xf>
    <xf numFmtId="165" fontId="10" fillId="0" borderId="40" xfId="0" applyNumberFormat="1" applyFont="1" applyBorder="1" applyAlignment="1">
      <alignment wrapText="1"/>
    </xf>
    <xf numFmtId="2" fontId="10" fillId="0" borderId="40" xfId="0" applyNumberFormat="1" applyFont="1" applyBorder="1" applyAlignment="1">
      <alignment wrapText="1"/>
    </xf>
    <xf numFmtId="165" fontId="10" fillId="0" borderId="58" xfId="0" applyNumberFormat="1" applyFont="1" applyBorder="1" applyAlignment="1">
      <alignment wrapText="1"/>
    </xf>
    <xf numFmtId="1" fontId="10" fillId="0" borderId="31" xfId="0" applyNumberFormat="1" applyFont="1" applyBorder="1" applyAlignment="1"/>
    <xf numFmtId="2" fontId="10" fillId="0" borderId="48" xfId="0" applyNumberFormat="1" applyFont="1" applyBorder="1" applyAlignment="1">
      <alignment horizontal="center"/>
    </xf>
    <xf numFmtId="0" fontId="11" fillId="0" borderId="48" xfId="0" applyFont="1" applyBorder="1"/>
    <xf numFmtId="0" fontId="10" fillId="0" borderId="48" xfId="0" applyFont="1" applyBorder="1"/>
    <xf numFmtId="164" fontId="10" fillId="0" borderId="48" xfId="0" applyNumberFormat="1" applyFont="1" applyBorder="1"/>
    <xf numFmtId="2" fontId="10" fillId="0" borderId="48" xfId="0" applyNumberFormat="1" applyFont="1" applyFill="1" applyBorder="1"/>
    <xf numFmtId="0" fontId="13" fillId="0" borderId="48" xfId="0" applyFont="1" applyBorder="1"/>
    <xf numFmtId="165" fontId="11" fillId="0" borderId="48" xfId="0" applyNumberFormat="1" applyFont="1" applyBorder="1"/>
    <xf numFmtId="165" fontId="11" fillId="0" borderId="31" xfId="0" applyNumberFormat="1" applyFont="1" applyBorder="1" applyAlignment="1"/>
    <xf numFmtId="165" fontId="10" fillId="0" borderId="48" xfId="0" applyNumberFormat="1" applyFont="1" applyBorder="1" applyAlignment="1"/>
    <xf numFmtId="165" fontId="12" fillId="0" borderId="0" xfId="0" applyNumberFormat="1" applyFont="1"/>
    <xf numFmtId="165" fontId="10" fillId="0" borderId="31" xfId="0" applyNumberFormat="1" applyFont="1" applyBorder="1"/>
    <xf numFmtId="1" fontId="12" fillId="0" borderId="31" xfId="0" applyNumberFormat="1" applyFont="1" applyBorder="1" applyAlignment="1"/>
    <xf numFmtId="1" fontId="12" fillId="0" borderId="48" xfId="0" applyNumberFormat="1" applyFont="1" applyBorder="1"/>
    <xf numFmtId="1" fontId="12" fillId="0" borderId="31" xfId="0" applyNumberFormat="1" applyFont="1" applyBorder="1"/>
    <xf numFmtId="2" fontId="12" fillId="0" borderId="48" xfId="0" applyNumberFormat="1" applyFont="1" applyBorder="1"/>
    <xf numFmtId="2" fontId="12" fillId="0" borderId="0" xfId="0" applyNumberFormat="1" applyFont="1"/>
    <xf numFmtId="165" fontId="12" fillId="0" borderId="31" xfId="0" applyNumberFormat="1" applyFont="1" applyBorder="1" applyAlignment="1"/>
    <xf numFmtId="165" fontId="13" fillId="0" borderId="0" xfId="0" applyNumberFormat="1" applyFont="1"/>
    <xf numFmtId="1" fontId="12" fillId="0" borderId="48" xfId="0" applyNumberFormat="1" applyFont="1" applyFill="1" applyBorder="1"/>
    <xf numFmtId="2" fontId="11" fillId="0" borderId="48" xfId="0" applyNumberFormat="1" applyFont="1" applyBorder="1"/>
    <xf numFmtId="1" fontId="13" fillId="0" borderId="31" xfId="0" applyNumberFormat="1" applyFont="1" applyBorder="1" applyAlignment="1"/>
    <xf numFmtId="1" fontId="11" fillId="0" borderId="48" xfId="0" applyNumberFormat="1" applyFont="1" applyBorder="1"/>
    <xf numFmtId="2" fontId="13" fillId="0" borderId="48" xfId="0" applyNumberFormat="1" applyFont="1" applyBorder="1"/>
    <xf numFmtId="2" fontId="13" fillId="0" borderId="0" xfId="0" applyNumberFormat="1" applyFont="1"/>
    <xf numFmtId="2" fontId="12" fillId="0" borderId="31" xfId="0" applyNumberFormat="1" applyFont="1" applyBorder="1" applyAlignment="1"/>
    <xf numFmtId="1" fontId="13" fillId="0" borderId="58" xfId="0" applyNumberFormat="1" applyFont="1" applyBorder="1"/>
    <xf numFmtId="165" fontId="13" fillId="0" borderId="31" xfId="0" applyNumberFormat="1" applyFont="1" applyBorder="1" applyAlignment="1"/>
    <xf numFmtId="1" fontId="11" fillId="0" borderId="48" xfId="0" applyNumberFormat="1" applyFont="1" applyBorder="1" applyAlignment="1"/>
    <xf numFmtId="165" fontId="11" fillId="16" borderId="31" xfId="0" applyNumberFormat="1" applyFont="1" applyFill="1" applyBorder="1" applyAlignment="1">
      <alignment horizontal="left"/>
    </xf>
    <xf numFmtId="165" fontId="11" fillId="16" borderId="9" xfId="0" applyNumberFormat="1" applyFont="1" applyFill="1" applyBorder="1" applyAlignment="1">
      <alignment horizontal="left"/>
    </xf>
    <xf numFmtId="1" fontId="12" fillId="16" borderId="48" xfId="0" applyNumberFormat="1" applyFont="1" applyFill="1" applyBorder="1"/>
    <xf numFmtId="165" fontId="12" fillId="16" borderId="31" xfId="0" applyNumberFormat="1" applyFont="1" applyFill="1" applyBorder="1" applyAlignment="1"/>
    <xf numFmtId="2" fontId="11" fillId="16" borderId="48" xfId="0" applyNumberFormat="1" applyFont="1" applyFill="1" applyBorder="1"/>
    <xf numFmtId="165" fontId="11" fillId="0" borderId="48" xfId="0" applyNumberFormat="1" applyFont="1" applyBorder="1" applyAlignment="1"/>
    <xf numFmtId="2" fontId="11" fillId="0" borderId="48" xfId="0" applyNumberFormat="1" applyFont="1" applyBorder="1" applyAlignment="1"/>
    <xf numFmtId="165" fontId="11" fillId="16" borderId="48" xfId="0" applyNumberFormat="1" applyFont="1" applyFill="1" applyBorder="1" applyAlignment="1">
      <alignment horizontal="left"/>
    </xf>
    <xf numFmtId="1" fontId="11" fillId="16" borderId="48" xfId="0" applyNumberFormat="1" applyFont="1" applyFill="1" applyBorder="1"/>
    <xf numFmtId="165" fontId="11" fillId="16" borderId="48" xfId="0" applyNumberFormat="1" applyFont="1" applyFill="1" applyBorder="1" applyAlignment="1"/>
    <xf numFmtId="164" fontId="10" fillId="0" borderId="0" xfId="0" applyNumberFormat="1" applyFont="1" applyBorder="1"/>
    <xf numFmtId="1" fontId="10" fillId="0" borderId="0" xfId="0" applyNumberFormat="1" applyFont="1" applyBorder="1"/>
    <xf numFmtId="2" fontId="10" fillId="0" borderId="0" xfId="0" applyNumberFormat="1" applyFont="1" applyBorder="1"/>
    <xf numFmtId="1" fontId="10" fillId="0" borderId="0" xfId="0" applyNumberFormat="1" applyFont="1" applyBorder="1" applyAlignment="1">
      <alignment shrinkToFit="1"/>
    </xf>
    <xf numFmtId="165" fontId="10" fillId="0" borderId="0" xfId="0" applyNumberFormat="1" applyFont="1" applyFill="1" applyBorder="1" applyAlignment="1">
      <alignment shrinkToFit="1"/>
    </xf>
    <xf numFmtId="165" fontId="10" fillId="0" borderId="0" xfId="0" applyNumberFormat="1" applyFont="1" applyBorder="1"/>
    <xf numFmtId="0" fontId="10" fillId="0" borderId="0" xfId="0" applyFont="1" applyBorder="1"/>
    <xf numFmtId="164" fontId="12" fillId="0" borderId="31" xfId="0" applyNumberFormat="1" applyFont="1" applyBorder="1" applyAlignment="1"/>
    <xf numFmtId="165" fontId="11" fillId="0" borderId="0" xfId="0" applyNumberFormat="1" applyFont="1" applyBorder="1" applyAlignment="1">
      <alignment horizontal="left"/>
    </xf>
    <xf numFmtId="1" fontId="11" fillId="0" borderId="0" xfId="0" applyNumberFormat="1" applyFont="1" applyBorder="1"/>
    <xf numFmtId="2" fontId="11" fillId="0" borderId="0" xfId="0" applyNumberFormat="1" applyFont="1" applyBorder="1" applyAlignment="1"/>
    <xf numFmtId="164" fontId="10" fillId="0" borderId="31" xfId="0" applyNumberFormat="1" applyFont="1" applyFill="1" applyBorder="1" applyAlignment="1">
      <alignment shrinkToFit="1"/>
    </xf>
    <xf numFmtId="1" fontId="10" fillId="0" borderId="55" xfId="0" applyNumberFormat="1" applyFont="1" applyFill="1" applyBorder="1" applyAlignment="1">
      <alignment shrinkToFit="1"/>
    </xf>
    <xf numFmtId="1" fontId="10" fillId="0" borderId="19" xfId="0" applyNumberFormat="1" applyFont="1" applyFill="1" applyBorder="1" applyAlignment="1">
      <alignment shrinkToFit="1"/>
    </xf>
    <xf numFmtId="1" fontId="10" fillId="0" borderId="74" xfId="0" applyNumberFormat="1" applyFont="1" applyFill="1" applyBorder="1" applyAlignment="1">
      <alignment shrinkToFit="1"/>
    </xf>
    <xf numFmtId="1" fontId="10" fillId="0" borderId="48" xfId="0" applyNumberFormat="1" applyFont="1" applyFill="1" applyBorder="1" applyAlignment="1">
      <alignment shrinkToFit="1"/>
    </xf>
    <xf numFmtId="1" fontId="10" fillId="0" borderId="10" xfId="0" applyNumberFormat="1" applyFont="1" applyFill="1" applyBorder="1" applyAlignment="1">
      <alignment shrinkToFit="1"/>
    </xf>
    <xf numFmtId="1" fontId="10" fillId="0" borderId="20" xfId="0" applyNumberFormat="1" applyFont="1" applyFill="1" applyBorder="1" applyAlignment="1">
      <alignment shrinkToFit="1"/>
    </xf>
    <xf numFmtId="165" fontId="11" fillId="0" borderId="17" xfId="0" applyNumberFormat="1" applyFont="1" applyBorder="1" applyAlignment="1">
      <alignment shrinkToFit="1"/>
    </xf>
    <xf numFmtId="165" fontId="11" fillId="0" borderId="66" xfId="0" applyNumberFormat="1" applyFont="1" applyBorder="1" applyAlignment="1">
      <alignment shrinkToFit="1"/>
    </xf>
    <xf numFmtId="165" fontId="10" fillId="0" borderId="31" xfId="0" applyNumberFormat="1" applyFont="1" applyBorder="1" applyAlignment="1">
      <alignment shrinkToFit="1"/>
    </xf>
    <xf numFmtId="165" fontId="10" fillId="7" borderId="31" xfId="0" applyNumberFormat="1" applyFont="1" applyFill="1" applyBorder="1" applyAlignment="1">
      <alignment shrinkToFit="1"/>
    </xf>
    <xf numFmtId="2" fontId="10" fillId="0" borderId="31" xfId="0" applyNumberFormat="1" applyFont="1" applyBorder="1" applyAlignment="1">
      <alignment shrinkToFit="1"/>
    </xf>
    <xf numFmtId="1" fontId="10" fillId="0" borderId="31" xfId="0" applyNumberFormat="1" applyFont="1" applyBorder="1" applyAlignment="1">
      <alignment shrinkToFit="1"/>
    </xf>
    <xf numFmtId="165" fontId="10" fillId="0" borderId="48" xfId="0" applyNumberFormat="1" applyFont="1" applyBorder="1" applyAlignment="1">
      <alignment horizontal="center" shrinkToFit="1"/>
    </xf>
    <xf numFmtId="2" fontId="10" fillId="0" borderId="48" xfId="0" applyNumberFormat="1" applyFont="1" applyBorder="1" applyAlignment="1">
      <alignment horizontal="center" shrinkToFit="1"/>
    </xf>
    <xf numFmtId="0" fontId="10" fillId="0" borderId="48" xfId="0" applyFont="1" applyBorder="1" applyAlignment="1">
      <alignment shrinkToFit="1"/>
    </xf>
    <xf numFmtId="164" fontId="10" fillId="0" borderId="48" xfId="0" applyNumberFormat="1" applyFont="1" applyBorder="1" applyAlignment="1">
      <alignment shrinkToFit="1"/>
    </xf>
    <xf numFmtId="164" fontId="10" fillId="0" borderId="48" xfId="0" applyNumberFormat="1" applyFont="1" applyFill="1" applyBorder="1" applyAlignment="1">
      <alignment shrinkToFit="1"/>
    </xf>
    <xf numFmtId="2" fontId="10" fillId="0" borderId="48" xfId="0" applyNumberFormat="1" applyFont="1" applyFill="1" applyBorder="1" applyAlignment="1">
      <alignment shrinkToFit="1"/>
    </xf>
    <xf numFmtId="165" fontId="10" fillId="0" borderId="31" xfId="0" applyNumberFormat="1" applyFont="1" applyFill="1" applyBorder="1" applyAlignment="1">
      <alignment shrinkToFit="1"/>
    </xf>
    <xf numFmtId="165" fontId="11" fillId="0" borderId="31" xfId="0" applyNumberFormat="1" applyFont="1" applyBorder="1" applyAlignment="1">
      <alignment shrinkToFit="1"/>
    </xf>
    <xf numFmtId="2" fontId="11" fillId="0" borderId="48" xfId="0" applyNumberFormat="1" applyFont="1" applyBorder="1" applyAlignment="1">
      <alignment horizontal="center" shrinkToFit="1"/>
    </xf>
    <xf numFmtId="164" fontId="11" fillId="0" borderId="38" xfId="0" applyNumberFormat="1" applyFont="1" applyBorder="1" applyAlignment="1">
      <alignment horizontal="center" vertical="center"/>
    </xf>
    <xf numFmtId="165" fontId="11" fillId="0" borderId="48" xfId="0" applyNumberFormat="1" applyFont="1" applyBorder="1" applyAlignment="1">
      <alignment horizontal="center" vertical="center" wrapText="1"/>
    </xf>
    <xf numFmtId="165" fontId="11" fillId="0" borderId="10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/>
    </xf>
    <xf numFmtId="2" fontId="11" fillId="0" borderId="24" xfId="0" applyNumberFormat="1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164" fontId="11" fillId="0" borderId="24" xfId="0" applyNumberFormat="1" applyFont="1" applyBorder="1" applyAlignment="1">
      <alignment horizontal="center"/>
    </xf>
    <xf numFmtId="164" fontId="11" fillId="0" borderId="23" xfId="0" applyNumberFormat="1" applyFont="1" applyBorder="1" applyAlignment="1">
      <alignment horizontal="center"/>
    </xf>
    <xf numFmtId="164" fontId="11" fillId="0" borderId="26" xfId="0" applyNumberFormat="1" applyFont="1" applyBorder="1" applyAlignment="1">
      <alignment horizontal="center"/>
    </xf>
    <xf numFmtId="164" fontId="11" fillId="0" borderId="27" xfId="0" applyNumberFormat="1" applyFont="1" applyBorder="1" applyAlignment="1">
      <alignment horizontal="center"/>
    </xf>
    <xf numFmtId="164" fontId="11" fillId="0" borderId="42" xfId="0" applyNumberFormat="1" applyFont="1" applyBorder="1" applyAlignment="1">
      <alignment horizontal="center"/>
    </xf>
    <xf numFmtId="1" fontId="11" fillId="0" borderId="23" xfId="0" applyNumberFormat="1" applyFont="1" applyBorder="1" applyAlignment="1">
      <alignment horizontal="center"/>
    </xf>
    <xf numFmtId="2" fontId="11" fillId="0" borderId="27" xfId="0" applyNumberFormat="1" applyFont="1" applyBorder="1" applyAlignment="1">
      <alignment horizontal="center"/>
    </xf>
    <xf numFmtId="1" fontId="11" fillId="0" borderId="26" xfId="0" applyNumberFormat="1" applyFont="1" applyBorder="1" applyAlignment="1">
      <alignment horizontal="center"/>
    </xf>
    <xf numFmtId="1" fontId="11" fillId="0" borderId="42" xfId="0" applyNumberFormat="1" applyFont="1" applyBorder="1" applyAlignment="1">
      <alignment horizontal="center"/>
    </xf>
    <xf numFmtId="165" fontId="11" fillId="0" borderId="25" xfId="0" applyNumberFormat="1" applyFont="1" applyBorder="1" applyAlignment="1">
      <alignment horizontal="center"/>
    </xf>
    <xf numFmtId="165" fontId="11" fillId="0" borderId="23" xfId="0" applyNumberFormat="1" applyFont="1" applyBorder="1" applyAlignment="1">
      <alignment horizontal="center"/>
    </xf>
    <xf numFmtId="165" fontId="11" fillId="0" borderId="56" xfId="0" applyNumberFormat="1" applyFont="1" applyBorder="1" applyAlignment="1">
      <alignment horizontal="center"/>
    </xf>
    <xf numFmtId="165" fontId="11" fillId="0" borderId="24" xfId="0" applyNumberFormat="1" applyFont="1" applyBorder="1" applyAlignment="1">
      <alignment horizontal="center"/>
    </xf>
    <xf numFmtId="165" fontId="10" fillId="0" borderId="21" xfId="0" applyNumberFormat="1" applyFont="1" applyBorder="1"/>
    <xf numFmtId="1" fontId="10" fillId="0" borderId="45" xfId="0" applyNumberFormat="1" applyFont="1" applyBorder="1" applyAlignment="1">
      <alignment shrinkToFit="1"/>
    </xf>
    <xf numFmtId="2" fontId="10" fillId="0" borderId="4" xfId="0" applyNumberFormat="1" applyFont="1" applyFill="1" applyBorder="1" applyAlignment="1">
      <alignment shrinkToFit="1"/>
    </xf>
    <xf numFmtId="1" fontId="10" fillId="0" borderId="8" xfId="0" applyNumberFormat="1" applyFont="1" applyBorder="1" applyAlignment="1">
      <alignment shrinkToFit="1"/>
    </xf>
    <xf numFmtId="0" fontId="11" fillId="0" borderId="41" xfId="0" applyFont="1" applyBorder="1"/>
    <xf numFmtId="0" fontId="10" fillId="0" borderId="23" xfId="0" applyFont="1" applyBorder="1"/>
    <xf numFmtId="2" fontId="10" fillId="0" borderId="24" xfId="0" applyNumberFormat="1" applyFont="1" applyBorder="1"/>
    <xf numFmtId="0" fontId="10" fillId="0" borderId="26" xfId="0" applyFont="1" applyBorder="1"/>
    <xf numFmtId="164" fontId="10" fillId="0" borderId="24" xfId="0" applyNumberFormat="1" applyFont="1" applyBorder="1"/>
    <xf numFmtId="164" fontId="10" fillId="0" borderId="27" xfId="0" applyNumberFormat="1" applyFont="1" applyBorder="1"/>
    <xf numFmtId="2" fontId="10" fillId="0" borderId="27" xfId="0" applyNumberFormat="1" applyFont="1" applyBorder="1"/>
    <xf numFmtId="1" fontId="10" fillId="0" borderId="23" xfId="0" applyNumberFormat="1" applyFont="1" applyBorder="1" applyAlignment="1">
      <alignment shrinkToFit="1"/>
    </xf>
    <xf numFmtId="164" fontId="10" fillId="0" borderId="24" xfId="0" applyNumberFormat="1" applyFont="1" applyBorder="1" applyAlignment="1">
      <alignment shrinkToFit="1"/>
    </xf>
    <xf numFmtId="1" fontId="10" fillId="0" borderId="26" xfId="0" applyNumberFormat="1" applyFont="1" applyBorder="1" applyAlignment="1">
      <alignment shrinkToFit="1"/>
    </xf>
    <xf numFmtId="164" fontId="10" fillId="0" borderId="27" xfId="0" applyNumberFormat="1" applyFont="1" applyBorder="1" applyAlignment="1">
      <alignment shrinkToFit="1"/>
    </xf>
    <xf numFmtId="1" fontId="10" fillId="0" borderId="42" xfId="0" applyNumberFormat="1" applyFont="1" applyBorder="1" applyAlignment="1">
      <alignment shrinkToFit="1"/>
    </xf>
    <xf numFmtId="165" fontId="12" fillId="0" borderId="25" xfId="0" applyNumberFormat="1" applyFont="1" applyFill="1" applyBorder="1" applyAlignment="1">
      <alignment shrinkToFit="1"/>
    </xf>
    <xf numFmtId="165" fontId="10" fillId="0" borderId="23" xfId="0" applyNumberFormat="1" applyFont="1" applyFill="1" applyBorder="1" applyAlignment="1">
      <alignment shrinkToFit="1"/>
    </xf>
    <xf numFmtId="165" fontId="10" fillId="0" borderId="56" xfId="0" applyNumberFormat="1" applyFont="1" applyFill="1" applyBorder="1" applyAlignment="1">
      <alignment shrinkToFit="1"/>
    </xf>
    <xf numFmtId="165" fontId="10" fillId="0" borderId="24" xfId="0" applyNumberFormat="1" applyFont="1" applyFill="1" applyBorder="1" applyAlignment="1">
      <alignment shrinkToFit="1"/>
    </xf>
    <xf numFmtId="165" fontId="10" fillId="0" borderId="21" xfId="0" applyNumberFormat="1" applyFont="1" applyFill="1" applyBorder="1" applyAlignment="1">
      <alignment shrinkToFit="1"/>
    </xf>
    <xf numFmtId="1" fontId="10" fillId="0" borderId="45" xfId="0" applyNumberFormat="1" applyFont="1" applyFill="1" applyBorder="1" applyAlignment="1">
      <alignment shrinkToFit="1"/>
    </xf>
    <xf numFmtId="164" fontId="10" fillId="0" borderId="4" xfId="0" applyNumberFormat="1" applyFont="1" applyFill="1" applyBorder="1" applyAlignment="1">
      <alignment shrinkToFit="1"/>
    </xf>
    <xf numFmtId="165" fontId="10" fillId="0" borderId="4" xfId="0" applyNumberFormat="1" applyFont="1" applyFill="1" applyBorder="1" applyAlignment="1">
      <alignment shrinkToFit="1"/>
    </xf>
    <xf numFmtId="1" fontId="10" fillId="0" borderId="23" xfId="0" applyNumberFormat="1" applyFont="1" applyBorder="1"/>
    <xf numFmtId="1" fontId="10" fillId="0" borderId="16" xfId="0" applyNumberFormat="1" applyFont="1" applyBorder="1"/>
    <xf numFmtId="164" fontId="10" fillId="0" borderId="17" xfId="0" applyNumberFormat="1" applyFont="1" applyBorder="1"/>
    <xf numFmtId="164" fontId="10" fillId="0" borderId="15" xfId="0" applyNumberFormat="1" applyFont="1" applyBorder="1"/>
    <xf numFmtId="1" fontId="10" fillId="0" borderId="2" xfId="0" applyNumberFormat="1" applyFont="1" applyBorder="1"/>
    <xf numFmtId="1" fontId="10" fillId="0" borderId="37" xfId="0" applyNumberFormat="1" applyFont="1" applyBorder="1" applyAlignment="1">
      <alignment shrinkToFit="1"/>
    </xf>
    <xf numFmtId="0" fontId="11" fillId="0" borderId="15" xfId="0" applyFont="1" applyBorder="1"/>
    <xf numFmtId="2" fontId="10" fillId="0" borderId="25" xfId="0" applyNumberFormat="1" applyFont="1" applyBorder="1"/>
    <xf numFmtId="1" fontId="10" fillId="0" borderId="24" xfId="0" applyNumberFormat="1" applyFont="1" applyBorder="1"/>
    <xf numFmtId="1" fontId="10" fillId="0" borderId="56" xfId="0" applyNumberFormat="1" applyFont="1" applyBorder="1"/>
    <xf numFmtId="1" fontId="10" fillId="0" borderId="21" xfId="0" applyNumberFormat="1" applyFont="1" applyBorder="1"/>
    <xf numFmtId="0" fontId="11" fillId="0" borderId="0" xfId="0" applyFont="1" applyBorder="1"/>
    <xf numFmtId="164" fontId="11" fillId="0" borderId="15" xfId="0" applyNumberFormat="1" applyFont="1" applyBorder="1" applyAlignment="1">
      <alignment horizontal="center" vertical="center"/>
    </xf>
    <xf numFmtId="165" fontId="11" fillId="0" borderId="59" xfId="0" applyNumberFormat="1" applyFont="1" applyBorder="1" applyAlignment="1">
      <alignment horizontal="center" vertical="center" wrapText="1"/>
    </xf>
    <xf numFmtId="165" fontId="11" fillId="0" borderId="13" xfId="0" applyNumberFormat="1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/>
    </xf>
    <xf numFmtId="164" fontId="11" fillId="0" borderId="63" xfId="0" applyNumberFormat="1" applyFont="1" applyBorder="1" applyAlignment="1">
      <alignment horizontal="center"/>
    </xf>
    <xf numFmtId="164" fontId="11" fillId="0" borderId="78" xfId="0" applyNumberFormat="1" applyFont="1" applyBorder="1" applyAlignment="1">
      <alignment horizontal="center"/>
    </xf>
    <xf numFmtId="164" fontId="11" fillId="0" borderId="79" xfId="0" applyNumberFormat="1" applyFont="1" applyBorder="1" applyAlignment="1">
      <alignment horizontal="center"/>
    </xf>
    <xf numFmtId="164" fontId="11" fillId="0" borderId="62" xfId="0" applyNumberFormat="1" applyFont="1" applyBorder="1" applyAlignment="1">
      <alignment horizontal="center"/>
    </xf>
    <xf numFmtId="164" fontId="11" fillId="0" borderId="14" xfId="0" applyNumberFormat="1" applyFont="1" applyBorder="1" applyAlignment="1">
      <alignment horizontal="center"/>
    </xf>
    <xf numFmtId="0" fontId="11" fillId="0" borderId="78" xfId="0" applyFont="1" applyBorder="1" applyAlignment="1">
      <alignment horizontal="center"/>
    </xf>
    <xf numFmtId="1" fontId="11" fillId="0" borderId="78" xfId="0" applyNumberFormat="1" applyFont="1" applyBorder="1" applyAlignment="1">
      <alignment horizontal="center"/>
    </xf>
    <xf numFmtId="2" fontId="11" fillId="0" borderId="79" xfId="0" applyNumberFormat="1" applyFont="1" applyBorder="1" applyAlignment="1">
      <alignment horizontal="center"/>
    </xf>
    <xf numFmtId="2" fontId="11" fillId="0" borderId="63" xfId="0" applyNumberFormat="1" applyFont="1" applyBorder="1" applyAlignment="1">
      <alignment horizontal="center"/>
    </xf>
    <xf numFmtId="164" fontId="11" fillId="0" borderId="17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1" fontId="11" fillId="0" borderId="15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165" fontId="11" fillId="0" borderId="66" xfId="0" applyNumberFormat="1" applyFont="1" applyBorder="1" applyAlignment="1">
      <alignment horizontal="center"/>
    </xf>
    <xf numFmtId="165" fontId="11" fillId="0" borderId="17" xfId="0" applyNumberFormat="1" applyFont="1" applyBorder="1" applyAlignment="1">
      <alignment horizontal="center"/>
    </xf>
    <xf numFmtId="165" fontId="10" fillId="0" borderId="3" xfId="0" applyNumberFormat="1" applyFont="1" applyBorder="1"/>
    <xf numFmtId="0" fontId="11" fillId="0" borderId="4" xfId="0" applyFont="1" applyBorder="1"/>
    <xf numFmtId="0" fontId="11" fillId="0" borderId="25" xfId="0" applyFont="1" applyBorder="1"/>
    <xf numFmtId="1" fontId="10" fillId="0" borderId="25" xfId="0" applyNumberFormat="1" applyFont="1" applyBorder="1" applyAlignment="1">
      <alignment shrinkToFit="1"/>
    </xf>
    <xf numFmtId="165" fontId="10" fillId="0" borderId="42" xfId="0" applyNumberFormat="1" applyFont="1" applyFill="1" applyBorder="1" applyAlignment="1">
      <alignment shrinkToFit="1"/>
    </xf>
    <xf numFmtId="0" fontId="10" fillId="0" borderId="23" xfId="0" applyFont="1" applyBorder="1" applyAlignment="1">
      <alignment shrinkToFit="1"/>
    </xf>
    <xf numFmtId="2" fontId="10" fillId="0" borderId="24" xfId="0" applyNumberFormat="1" applyFont="1" applyBorder="1" applyAlignment="1">
      <alignment shrinkToFit="1"/>
    </xf>
    <xf numFmtId="0" fontId="10" fillId="0" borderId="26" xfId="0" applyFont="1" applyBorder="1" applyAlignment="1">
      <alignment shrinkToFit="1"/>
    </xf>
    <xf numFmtId="2" fontId="10" fillId="0" borderId="27" xfId="0" applyNumberFormat="1" applyFont="1" applyBorder="1" applyAlignment="1">
      <alignment shrinkToFit="1"/>
    </xf>
    <xf numFmtId="164" fontId="10" fillId="0" borderId="45" xfId="0" applyNumberFormat="1" applyFont="1" applyBorder="1" applyAlignment="1">
      <alignment shrinkToFit="1"/>
    </xf>
    <xf numFmtId="1" fontId="10" fillId="0" borderId="16" xfId="0" applyNumberFormat="1" applyFont="1" applyBorder="1" applyAlignment="1">
      <alignment shrinkToFit="1"/>
    </xf>
    <xf numFmtId="164" fontId="10" fillId="0" borderId="17" xfId="0" applyNumberFormat="1" applyFont="1" applyBorder="1" applyAlignment="1">
      <alignment shrinkToFit="1"/>
    </xf>
    <xf numFmtId="164" fontId="10" fillId="0" borderId="15" xfId="0" applyNumberFormat="1" applyFont="1" applyBorder="1" applyAlignment="1">
      <alignment shrinkToFit="1"/>
    </xf>
    <xf numFmtId="1" fontId="10" fillId="0" borderId="2" xfId="0" applyNumberFormat="1" applyFont="1" applyBorder="1" applyAlignment="1">
      <alignment shrinkToFit="1"/>
    </xf>
    <xf numFmtId="165" fontId="10" fillId="0" borderId="48" xfId="0" applyNumberFormat="1" applyFont="1" applyBorder="1" applyAlignment="1">
      <alignment shrinkToFit="1"/>
    </xf>
    <xf numFmtId="166" fontId="29" fillId="0" borderId="7" xfId="0" applyNumberFormat="1" applyFont="1" applyFill="1" applyBorder="1"/>
    <xf numFmtId="166" fontId="30" fillId="0" borderId="7" xfId="0" applyNumberFormat="1" applyFont="1" applyFill="1" applyBorder="1"/>
    <xf numFmtId="0" fontId="2" fillId="0" borderId="28" xfId="0" applyFont="1" applyFill="1" applyBorder="1"/>
    <xf numFmtId="0" fontId="2" fillId="0" borderId="1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3" fillId="0" borderId="1" xfId="0" applyFont="1" applyBorder="1"/>
    <xf numFmtId="0" fontId="10" fillId="0" borderId="8" xfId="0" applyFont="1" applyBorder="1" applyAlignment="1">
      <alignment wrapText="1"/>
    </xf>
    <xf numFmtId="0" fontId="23" fillId="0" borderId="5" xfId="0" applyFont="1" applyBorder="1" applyAlignment="1">
      <alignment wrapText="1"/>
    </xf>
    <xf numFmtId="1" fontId="3" fillId="0" borderId="0" xfId="0" applyNumberFormat="1" applyFont="1" applyFill="1" applyBorder="1" applyAlignment="1">
      <alignment horizontal="right"/>
    </xf>
    <xf numFmtId="165" fontId="31" fillId="0" borderId="43" xfId="0" applyNumberFormat="1" applyFont="1" applyFill="1" applyBorder="1"/>
    <xf numFmtId="165" fontId="31" fillId="0" borderId="48" xfId="0" applyNumberFormat="1" applyFont="1" applyFill="1" applyBorder="1"/>
    <xf numFmtId="165" fontId="31" fillId="0" borderId="0" xfId="0" applyNumberFormat="1" applyFont="1" applyFill="1"/>
    <xf numFmtId="165" fontId="32" fillId="0" borderId="30" xfId="0" applyNumberFormat="1" applyFont="1" applyFill="1" applyBorder="1"/>
    <xf numFmtId="166" fontId="32" fillId="0" borderId="7" xfId="0" applyNumberFormat="1" applyFont="1" applyFill="1" applyBorder="1"/>
    <xf numFmtId="0" fontId="32" fillId="0" borderId="0" xfId="0" applyFont="1" applyFill="1"/>
    <xf numFmtId="2" fontId="11" fillId="0" borderId="0" xfId="1" applyNumberFormat="1" applyFont="1" applyBorder="1" applyAlignment="1">
      <alignment horizontal="left" vertical="center"/>
    </xf>
    <xf numFmtId="2" fontId="13" fillId="6" borderId="44" xfId="1" applyNumberFormat="1" applyFont="1" applyFill="1" applyBorder="1"/>
    <xf numFmtId="2" fontId="13" fillId="6" borderId="44" xfId="1" applyNumberFormat="1" applyFont="1" applyFill="1" applyBorder="1" applyAlignment="1">
      <alignment horizontal="left" vertical="center"/>
    </xf>
    <xf numFmtId="1" fontId="7" fillId="6" borderId="44" xfId="1" applyNumberFormat="1" applyFont="1" applyFill="1" applyBorder="1" applyAlignment="1">
      <alignment horizontal="right" vertical="center"/>
    </xf>
    <xf numFmtId="0" fontId="10" fillId="0" borderId="41" xfId="0" applyFont="1" applyBorder="1" applyAlignment="1">
      <alignment shrinkToFit="1"/>
    </xf>
    <xf numFmtId="2" fontId="8" fillId="0" borderId="9" xfId="0" applyNumberFormat="1" applyFont="1" applyFill="1" applyBorder="1" applyAlignment="1">
      <alignment vertical="center" shrinkToFit="1"/>
    </xf>
    <xf numFmtId="2" fontId="8" fillId="0" borderId="48" xfId="0" applyNumberFormat="1" applyFont="1" applyFill="1" applyBorder="1" applyAlignment="1">
      <alignment vertical="center" shrinkToFit="1"/>
    </xf>
    <xf numFmtId="2" fontId="8" fillId="0" borderId="31" xfId="0" applyNumberFormat="1" applyFont="1" applyFill="1" applyBorder="1" applyAlignment="1">
      <alignment vertical="center" shrinkToFit="1"/>
    </xf>
    <xf numFmtId="0" fontId="35" fillId="0" borderId="7" xfId="0" applyFont="1" applyBorder="1" applyAlignment="1">
      <alignment wrapText="1"/>
    </xf>
    <xf numFmtId="0" fontId="35" fillId="0" borderId="8" xfId="0" applyFont="1" applyBorder="1" applyAlignment="1">
      <alignment wrapText="1"/>
    </xf>
    <xf numFmtId="165" fontId="35" fillId="0" borderId="0" xfId="0" applyNumberFormat="1" applyFont="1"/>
    <xf numFmtId="0" fontId="35" fillId="0" borderId="0" xfId="0" applyFont="1"/>
    <xf numFmtId="1" fontId="10" fillId="0" borderId="32" xfId="0" applyNumberFormat="1" applyFont="1" applyBorder="1" applyAlignment="1">
      <alignment shrinkToFit="1"/>
    </xf>
    <xf numFmtId="164" fontId="10" fillId="0" borderId="6" xfId="0" applyNumberFormat="1" applyFont="1" applyBorder="1" applyAlignment="1">
      <alignment shrinkToFit="1"/>
    </xf>
    <xf numFmtId="164" fontId="12" fillId="0" borderId="48" xfId="0" applyNumberFormat="1" applyFont="1" applyBorder="1" applyAlignment="1">
      <alignment shrinkToFit="1"/>
    </xf>
    <xf numFmtId="165" fontId="11" fillId="0" borderId="48" xfId="0" applyNumberFormat="1" applyFont="1" applyBorder="1" applyAlignment="1">
      <alignment horizontal="left"/>
    </xf>
    <xf numFmtId="165" fontId="13" fillId="0" borderId="31" xfId="0" applyNumberFormat="1" applyFont="1" applyBorder="1" applyAlignment="1">
      <alignment horizontal="left"/>
    </xf>
    <xf numFmtId="165" fontId="13" fillId="0" borderId="9" xfId="0" applyNumberFormat="1" applyFont="1" applyBorder="1" applyAlignment="1">
      <alignment horizontal="left"/>
    </xf>
    <xf numFmtId="165" fontId="11" fillId="0" borderId="31" xfId="0" applyNumberFormat="1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165" fontId="12" fillId="0" borderId="31" xfId="0" applyNumberFormat="1" applyFont="1" applyBorder="1" applyAlignment="1">
      <alignment horizontal="left"/>
    </xf>
    <xf numFmtId="165" fontId="12" fillId="0" borderId="9" xfId="0" applyNumberFormat="1" applyFont="1" applyBorder="1" applyAlignment="1">
      <alignment horizontal="left"/>
    </xf>
    <xf numFmtId="165" fontId="10" fillId="0" borderId="59" xfId="0" applyNumberFormat="1" applyFont="1" applyBorder="1" applyAlignment="1">
      <alignment horizontal="center" wrapText="1"/>
    </xf>
    <xf numFmtId="165" fontId="10" fillId="0" borderId="58" xfId="0" applyNumberFormat="1" applyFont="1" applyBorder="1" applyAlignment="1">
      <alignment horizontal="center" wrapText="1"/>
    </xf>
    <xf numFmtId="2" fontId="10" fillId="0" borderId="59" xfId="0" applyNumberFormat="1" applyFont="1" applyBorder="1" applyAlignment="1">
      <alignment horizontal="center" wrapText="1"/>
    </xf>
    <xf numFmtId="2" fontId="10" fillId="0" borderId="58" xfId="0" applyNumberFormat="1" applyFont="1" applyBorder="1" applyAlignment="1">
      <alignment horizontal="center" wrapText="1"/>
    </xf>
    <xf numFmtId="165" fontId="11" fillId="0" borderId="48" xfId="0" applyNumberFormat="1" applyFont="1" applyBorder="1" applyAlignment="1">
      <alignment horizontal="center"/>
    </xf>
    <xf numFmtId="165" fontId="10" fillId="0" borderId="31" xfId="0" applyNumberFormat="1" applyFont="1" applyBorder="1" applyAlignment="1">
      <alignment horizontal="center"/>
    </xf>
    <xf numFmtId="165" fontId="11" fillId="27" borderId="48" xfId="0" applyNumberFormat="1" applyFont="1" applyFill="1" applyBorder="1"/>
    <xf numFmtId="165" fontId="11" fillId="28" borderId="48" xfId="0" applyNumberFormat="1" applyFont="1" applyFill="1" applyBorder="1"/>
    <xf numFmtId="165" fontId="11" fillId="27" borderId="48" xfId="0" applyNumberFormat="1" applyFont="1" applyFill="1" applyBorder="1" applyAlignment="1">
      <alignment horizontal="right" vertical="center"/>
    </xf>
    <xf numFmtId="165" fontId="10" fillId="27" borderId="48" xfId="0" applyNumberFormat="1" applyFont="1" applyFill="1" applyBorder="1"/>
    <xf numFmtId="1" fontId="12" fillId="27" borderId="48" xfId="0" applyNumberFormat="1" applyFont="1" applyFill="1" applyBorder="1" applyAlignment="1">
      <alignment horizontal="left" vertical="center"/>
    </xf>
    <xf numFmtId="165" fontId="10" fillId="27" borderId="48" xfId="0" applyNumberFormat="1" applyFont="1" applyFill="1" applyBorder="1" applyAlignment="1">
      <alignment horizontal="left" vertical="center"/>
    </xf>
    <xf numFmtId="165" fontId="11" fillId="29" borderId="66" xfId="0" applyNumberFormat="1" applyFont="1" applyFill="1" applyBorder="1"/>
    <xf numFmtId="165" fontId="10" fillId="27" borderId="58" xfId="0" applyNumberFormat="1" applyFont="1" applyFill="1" applyBorder="1"/>
    <xf numFmtId="165" fontId="11" fillId="29" borderId="48" xfId="0" applyNumberFormat="1" applyFont="1" applyFill="1" applyBorder="1" applyAlignment="1">
      <alignment wrapText="1"/>
    </xf>
    <xf numFmtId="165" fontId="11" fillId="31" borderId="48" xfId="0" applyNumberFormat="1" applyFont="1" applyFill="1" applyBorder="1" applyAlignment="1">
      <alignment wrapText="1"/>
    </xf>
    <xf numFmtId="2" fontId="11" fillId="32" borderId="48" xfId="0" applyNumberFormat="1" applyFont="1" applyFill="1" applyBorder="1"/>
    <xf numFmtId="165" fontId="11" fillId="33" borderId="48" xfId="0" applyNumberFormat="1" applyFont="1" applyFill="1" applyBorder="1"/>
    <xf numFmtId="2" fontId="10" fillId="32" borderId="48" xfId="0" applyNumberFormat="1" applyFont="1" applyFill="1" applyBorder="1"/>
    <xf numFmtId="165" fontId="10" fillId="33" borderId="16" xfId="0" applyNumberFormat="1" applyFont="1" applyFill="1" applyBorder="1"/>
    <xf numFmtId="165" fontId="10" fillId="33" borderId="48" xfId="0" applyNumberFormat="1" applyFont="1" applyFill="1" applyBorder="1"/>
    <xf numFmtId="165" fontId="11" fillId="13" borderId="0" xfId="0" applyNumberFormat="1" applyFont="1" applyFill="1"/>
    <xf numFmtId="165" fontId="34" fillId="0" borderId="0" xfId="0" applyNumberFormat="1" applyFont="1" applyFill="1"/>
    <xf numFmtId="165" fontId="12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164" fontId="10" fillId="0" borderId="48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 wrapText="1"/>
    </xf>
    <xf numFmtId="165" fontId="11" fillId="28" borderId="48" xfId="0" applyNumberFormat="1" applyFont="1" applyFill="1" applyBorder="1" applyAlignment="1">
      <alignment horizontal="right" vertical="center"/>
    </xf>
    <xf numFmtId="165" fontId="11" fillId="0" borderId="0" xfId="0" applyNumberFormat="1" applyFont="1" applyFill="1" applyBorder="1" applyAlignment="1">
      <alignment horizontal="right" vertical="center"/>
    </xf>
    <xf numFmtId="165" fontId="10" fillId="27" borderId="31" xfId="0" applyNumberFormat="1" applyFont="1" applyFill="1" applyBorder="1" applyAlignment="1">
      <alignment horizontal="left" vertical="center"/>
    </xf>
    <xf numFmtId="165" fontId="10" fillId="0" borderId="0" xfId="0" applyNumberFormat="1" applyFont="1" applyFill="1" applyBorder="1" applyAlignment="1">
      <alignment horizontal="right" vertical="center"/>
    </xf>
    <xf numFmtId="1" fontId="12" fillId="27" borderId="31" xfId="0" applyNumberFormat="1" applyFont="1" applyFill="1" applyBorder="1" applyAlignment="1">
      <alignment horizontal="left" vertical="center"/>
    </xf>
    <xf numFmtId="1" fontId="12" fillId="0" borderId="0" xfId="0" applyNumberFormat="1" applyFont="1" applyFill="1" applyBorder="1" applyAlignment="1">
      <alignment horizontal="left" vertical="center"/>
    </xf>
    <xf numFmtId="165" fontId="10" fillId="15" borderId="16" xfId="0" applyNumberFormat="1" applyFont="1" applyFill="1" applyBorder="1"/>
    <xf numFmtId="165" fontId="11" fillId="15" borderId="0" xfId="0" applyNumberFormat="1" applyFont="1" applyFill="1"/>
    <xf numFmtId="0" fontId="3" fillId="0" borderId="2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16" xfId="0" applyFont="1" applyBorder="1" applyAlignment="1">
      <alignment horizontal="center" vertical="center" wrapText="1"/>
    </xf>
    <xf numFmtId="2" fontId="3" fillId="0" borderId="3" xfId="0" applyNumberFormat="1" applyFont="1" applyBorder="1"/>
    <xf numFmtId="0" fontId="3" fillId="0" borderId="37" xfId="0" applyFont="1" applyBorder="1"/>
    <xf numFmtId="0" fontId="3" fillId="0" borderId="3" xfId="0" applyFont="1" applyBorder="1"/>
    <xf numFmtId="0" fontId="2" fillId="0" borderId="22" xfId="0" applyFont="1" applyBorder="1" applyAlignment="1">
      <alignment horizontal="center" vertical="center" wrapText="1"/>
    </xf>
    <xf numFmtId="2" fontId="3" fillId="0" borderId="15" xfId="0" applyNumberFormat="1" applyFont="1" applyBorder="1"/>
    <xf numFmtId="0" fontId="3" fillId="0" borderId="29" xfId="0" applyFont="1" applyBorder="1"/>
    <xf numFmtId="0" fontId="2" fillId="0" borderId="5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left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66" fontId="3" fillId="0" borderId="15" xfId="0" applyNumberFormat="1" applyFont="1" applyBorder="1"/>
    <xf numFmtId="165" fontId="2" fillId="0" borderId="32" xfId="0" applyNumberFormat="1" applyFont="1" applyBorder="1" applyAlignment="1">
      <alignment horizontal="left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166" fontId="2" fillId="0" borderId="39" xfId="0" applyNumberFormat="1" applyFont="1" applyBorder="1" applyAlignment="1">
      <alignment horizontal="center" vertical="center" wrapText="1"/>
    </xf>
    <xf numFmtId="166" fontId="3" fillId="0" borderId="8" xfId="0" applyNumberFormat="1" applyFont="1" applyBorder="1"/>
    <xf numFmtId="166" fontId="3" fillId="0" borderId="39" xfId="0" applyNumberFormat="1" applyFont="1" applyBorder="1"/>
    <xf numFmtId="166" fontId="3" fillId="0" borderId="1" xfId="0" applyNumberFormat="1" applyFont="1" applyBorder="1"/>
    <xf numFmtId="165" fontId="2" fillId="0" borderId="30" xfId="0" applyNumberFormat="1" applyFont="1" applyBorder="1" applyAlignment="1">
      <alignment horizontal="left" vertical="center" wrapText="1"/>
    </xf>
    <xf numFmtId="166" fontId="2" fillId="0" borderId="7" xfId="0" applyNumberFormat="1" applyFont="1" applyBorder="1" applyAlignment="1">
      <alignment horizontal="center" vertical="center" wrapText="1"/>
    </xf>
    <xf numFmtId="166" fontId="2" fillId="0" borderId="30" xfId="0" applyNumberFormat="1" applyFont="1" applyBorder="1" applyAlignment="1">
      <alignment horizontal="center" vertical="center" wrapText="1"/>
    </xf>
    <xf numFmtId="166" fontId="3" fillId="0" borderId="30" xfId="0" applyNumberFormat="1" applyFont="1" applyBorder="1"/>
    <xf numFmtId="166" fontId="3" fillId="0" borderId="7" xfId="0" applyNumberFormat="1" applyFont="1" applyBorder="1"/>
    <xf numFmtId="3" fontId="2" fillId="0" borderId="8" xfId="0" applyNumberFormat="1" applyFont="1" applyBorder="1" applyAlignment="1">
      <alignment horizontal="center" vertical="center" wrapText="1"/>
    </xf>
    <xf numFmtId="3" fontId="2" fillId="0" borderId="31" xfId="0" applyNumberFormat="1" applyFont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165" fontId="3" fillId="0" borderId="30" xfId="0" applyNumberFormat="1" applyFont="1" applyBorder="1" applyAlignment="1">
      <alignment horizontal="left" vertical="center"/>
    </xf>
    <xf numFmtId="1" fontId="3" fillId="0" borderId="30" xfId="0" applyNumberFormat="1" applyFont="1" applyBorder="1" applyAlignment="1">
      <alignment horizontal="left" vertical="center"/>
    </xf>
    <xf numFmtId="1" fontId="3" fillId="0" borderId="7" xfId="0" applyNumberFormat="1" applyFont="1" applyBorder="1"/>
    <xf numFmtId="1" fontId="3" fillId="0" borderId="8" xfId="0" applyNumberFormat="1" applyFont="1" applyBorder="1"/>
    <xf numFmtId="165" fontId="3" fillId="0" borderId="30" xfId="0" applyNumberFormat="1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left"/>
    </xf>
    <xf numFmtId="1" fontId="6" fillId="0" borderId="30" xfId="0" applyNumberFormat="1" applyFont="1" applyBorder="1" applyAlignment="1">
      <alignment horizontal="left"/>
    </xf>
    <xf numFmtId="166" fontId="3" fillId="0" borderId="30" xfId="0" applyNumberFormat="1" applyFont="1" applyFill="1" applyBorder="1"/>
    <xf numFmtId="165" fontId="2" fillId="0" borderId="30" xfId="0" applyNumberFormat="1" applyFont="1" applyBorder="1"/>
    <xf numFmtId="166" fontId="2" fillId="0" borderId="30" xfId="0" applyNumberFormat="1" applyFont="1" applyBorder="1"/>
    <xf numFmtId="166" fontId="3" fillId="0" borderId="7" xfId="0" applyNumberFormat="1" applyFont="1" applyFill="1" applyBorder="1"/>
    <xf numFmtId="166" fontId="3" fillId="0" borderId="8" xfId="0" applyNumberFormat="1" applyFont="1" applyFill="1" applyBorder="1"/>
    <xf numFmtId="166" fontId="2" fillId="0" borderId="7" xfId="0" applyNumberFormat="1" applyFont="1" applyFill="1" applyBorder="1"/>
    <xf numFmtId="166" fontId="2" fillId="0" borderId="8" xfId="0" applyNumberFormat="1" applyFont="1" applyFill="1" applyBorder="1"/>
    <xf numFmtId="166" fontId="2" fillId="0" borderId="7" xfId="0" applyNumberFormat="1" applyFont="1" applyBorder="1"/>
    <xf numFmtId="2" fontId="3" fillId="0" borderId="30" xfId="0" applyNumberFormat="1" applyFont="1" applyBorder="1" applyAlignment="1">
      <alignment horizontal="left" vertical="center" wrapText="1"/>
    </xf>
    <xf numFmtId="165" fontId="3" fillId="0" borderId="30" xfId="0" applyNumberFormat="1" applyFont="1" applyBorder="1" applyAlignment="1">
      <alignment wrapText="1"/>
    </xf>
    <xf numFmtId="166" fontId="2" fillId="0" borderId="8" xfId="0" applyNumberFormat="1" applyFont="1" applyBorder="1"/>
    <xf numFmtId="165" fontId="3" fillId="0" borderId="30" xfId="0" applyNumberFormat="1" applyFont="1" applyBorder="1" applyAlignment="1">
      <alignment horizontal="left" wrapText="1"/>
    </xf>
    <xf numFmtId="165" fontId="3" fillId="0" borderId="33" xfId="0" applyNumberFormat="1" applyFont="1" applyBorder="1"/>
    <xf numFmtId="165" fontId="3" fillId="0" borderId="30" xfId="0" applyNumberFormat="1" applyFont="1" applyBorder="1"/>
    <xf numFmtId="166" fontId="3" fillId="0" borderId="25" xfId="0" applyNumberFormat="1" applyFont="1" applyBorder="1"/>
    <xf numFmtId="166" fontId="3" fillId="0" borderId="28" xfId="0" applyNumberFormat="1" applyFont="1" applyBorder="1"/>
    <xf numFmtId="165" fontId="2" fillId="2" borderId="16" xfId="0" applyNumberFormat="1" applyFont="1" applyFill="1" applyBorder="1"/>
    <xf numFmtId="166" fontId="2" fillId="2" borderId="34" xfId="0" applyNumberFormat="1" applyFont="1" applyFill="1" applyBorder="1"/>
    <xf numFmtId="166" fontId="2" fillId="2" borderId="15" xfId="0" applyNumberFormat="1" applyFont="1" applyFill="1" applyBorder="1"/>
    <xf numFmtId="166" fontId="2" fillId="2" borderId="35" xfId="0" applyNumberFormat="1" applyFont="1" applyFill="1" applyBorder="1"/>
    <xf numFmtId="166" fontId="2" fillId="2" borderId="36" xfId="0" applyNumberFormat="1" applyFont="1" applyFill="1" applyBorder="1"/>
    <xf numFmtId="166" fontId="2" fillId="2" borderId="16" xfId="0" applyNumberFormat="1" applyFont="1" applyFill="1" applyBorder="1"/>
    <xf numFmtId="166" fontId="3" fillId="22" borderId="15" xfId="0" applyNumberFormat="1" applyFont="1" applyFill="1" applyBorder="1"/>
    <xf numFmtId="165" fontId="3" fillId="0" borderId="39" xfId="0" applyNumberFormat="1" applyFont="1" applyBorder="1"/>
    <xf numFmtId="166" fontId="3" fillId="0" borderId="4" xfId="0" applyNumberFormat="1" applyFont="1" applyBorder="1"/>
    <xf numFmtId="166" fontId="3" fillId="0" borderId="45" xfId="0" applyNumberFormat="1" applyFont="1" applyBorder="1"/>
    <xf numFmtId="165" fontId="3" fillId="0" borderId="32" xfId="0" applyNumberFormat="1" applyFont="1" applyBorder="1"/>
    <xf numFmtId="165" fontId="3" fillId="0" borderId="32" xfId="0" applyNumberFormat="1" applyFont="1" applyBorder="1" applyAlignment="1">
      <alignment wrapText="1"/>
    </xf>
    <xf numFmtId="166" fontId="3" fillId="0" borderId="41" xfId="0" applyNumberFormat="1" applyFont="1" applyBorder="1"/>
    <xf numFmtId="166" fontId="3" fillId="0" borderId="42" xfId="0" applyNumberFormat="1" applyFont="1" applyBorder="1"/>
    <xf numFmtId="166" fontId="3" fillId="0" borderId="33" xfId="0" applyNumberFormat="1" applyFont="1" applyBorder="1"/>
    <xf numFmtId="165" fontId="2" fillId="0" borderId="39" xfId="0" applyNumberFormat="1" applyFont="1" applyBorder="1"/>
    <xf numFmtId="166" fontId="2" fillId="0" borderId="32" xfId="0" applyNumberFormat="1" applyFont="1" applyBorder="1"/>
    <xf numFmtId="166" fontId="2" fillId="0" borderId="1" xfId="0" applyNumberFormat="1" applyFont="1" applyBorder="1"/>
    <xf numFmtId="166" fontId="2" fillId="0" borderId="38" xfId="0" applyNumberFormat="1" applyFont="1" applyBorder="1"/>
    <xf numFmtId="166" fontId="2" fillId="0" borderId="39" xfId="0" applyNumberFormat="1" applyFont="1" applyBorder="1"/>
    <xf numFmtId="166" fontId="2" fillId="0" borderId="4" xfId="0" applyNumberFormat="1" applyFont="1" applyBorder="1"/>
    <xf numFmtId="0" fontId="2" fillId="0" borderId="41" xfId="0" applyFont="1" applyBorder="1"/>
    <xf numFmtId="166" fontId="3" fillId="0" borderId="32" xfId="0" applyNumberFormat="1" applyFont="1" applyBorder="1"/>
    <xf numFmtId="166" fontId="3" fillId="0" borderId="14" xfId="0" applyNumberFormat="1" applyFont="1" applyBorder="1"/>
    <xf numFmtId="166" fontId="3" fillId="0" borderId="22" xfId="0" applyNumberFormat="1" applyFont="1" applyBorder="1"/>
    <xf numFmtId="165" fontId="2" fillId="0" borderId="43" xfId="0" applyNumberFormat="1" applyFont="1" applyBorder="1"/>
    <xf numFmtId="166" fontId="2" fillId="0" borderId="43" xfId="0" applyNumberFormat="1" applyFont="1" applyBorder="1"/>
    <xf numFmtId="166" fontId="2" fillId="0" borderId="44" xfId="0" applyNumberFormat="1" applyFont="1" applyBorder="1"/>
    <xf numFmtId="166" fontId="2" fillId="0" borderId="0" xfId="0" applyNumberFormat="1" applyFont="1" applyBorder="1"/>
    <xf numFmtId="166" fontId="3" fillId="0" borderId="43" xfId="0" applyNumberFormat="1" applyFont="1" applyBorder="1"/>
    <xf numFmtId="166" fontId="2" fillId="0" borderId="45" xfId="0" applyNumberFormat="1" applyFont="1" applyBorder="1"/>
    <xf numFmtId="2" fontId="2" fillId="0" borderId="41" xfId="0" applyNumberFormat="1" applyFont="1" applyBorder="1"/>
    <xf numFmtId="2" fontId="3" fillId="0" borderId="41" xfId="0" applyNumberFormat="1" applyFont="1" applyBorder="1"/>
    <xf numFmtId="2" fontId="3" fillId="0" borderId="25" xfId="0" applyNumberFormat="1" applyFont="1" applyBorder="1"/>
    <xf numFmtId="164" fontId="3" fillId="0" borderId="42" xfId="0" applyNumberFormat="1" applyFont="1" applyBorder="1"/>
    <xf numFmtId="169" fontId="2" fillId="0" borderId="33" xfId="0" applyNumberFormat="1" applyFont="1" applyBorder="1"/>
    <xf numFmtId="169" fontId="3" fillId="0" borderId="28" xfId="0" applyNumberFormat="1" applyFont="1" applyBorder="1"/>
    <xf numFmtId="2" fontId="3" fillId="0" borderId="0" xfId="0" applyNumberFormat="1" applyFont="1"/>
    <xf numFmtId="0" fontId="3" fillId="0" borderId="33" xfId="0" applyFont="1" applyBorder="1"/>
    <xf numFmtId="166" fontId="3" fillId="0" borderId="44" xfId="0" applyNumberFormat="1" applyFont="1" applyBorder="1"/>
    <xf numFmtId="166" fontId="3" fillId="0" borderId="0" xfId="0" applyNumberFormat="1" applyFont="1" applyBorder="1"/>
    <xf numFmtId="166" fontId="3" fillId="0" borderId="16" xfId="0" applyNumberFormat="1" applyFont="1" applyBorder="1"/>
    <xf numFmtId="0" fontId="2" fillId="0" borderId="39" xfId="0" applyFont="1" applyBorder="1"/>
    <xf numFmtId="164" fontId="2" fillId="0" borderId="41" xfId="0" applyNumberFormat="1" applyFont="1" applyBorder="1"/>
    <xf numFmtId="164" fontId="3" fillId="0" borderId="41" xfId="0" applyNumberFormat="1" applyFont="1" applyBorder="1"/>
    <xf numFmtId="164" fontId="3" fillId="0" borderId="25" xfId="0" applyNumberFormat="1" applyFont="1" applyBorder="1"/>
    <xf numFmtId="164" fontId="3" fillId="0" borderId="0" xfId="0" applyNumberFormat="1" applyFont="1"/>
    <xf numFmtId="166" fontId="3" fillId="0" borderId="0" xfId="0" applyNumberFormat="1" applyFont="1"/>
    <xf numFmtId="166" fontId="2" fillId="0" borderId="0" xfId="0" applyNumberFormat="1" applyFont="1"/>
    <xf numFmtId="167" fontId="3" fillId="0" borderId="0" xfId="0" applyNumberFormat="1" applyFont="1"/>
    <xf numFmtId="165" fontId="23" fillId="0" borderId="0" xfId="0" applyNumberFormat="1" applyFont="1" applyFill="1" applyBorder="1" applyAlignment="1">
      <alignment vertical="center"/>
    </xf>
    <xf numFmtId="165" fontId="23" fillId="0" borderId="0" xfId="0" applyNumberFormat="1" applyFont="1" applyFill="1" applyAlignment="1">
      <alignment vertical="center"/>
    </xf>
    <xf numFmtId="165" fontId="22" fillId="0" borderId="0" xfId="0" applyNumberFormat="1" applyFont="1" applyFill="1" applyAlignment="1">
      <alignment vertical="center"/>
    </xf>
    <xf numFmtId="165" fontId="22" fillId="0" borderId="32" xfId="0" applyNumberFormat="1" applyFont="1" applyFill="1" applyBorder="1" applyAlignment="1">
      <alignment horizontal="right" vertical="center"/>
    </xf>
    <xf numFmtId="165" fontId="22" fillId="27" borderId="1" xfId="0" applyNumberFormat="1" applyFont="1" applyFill="1" applyBorder="1" applyAlignment="1">
      <alignment vertical="center"/>
    </xf>
    <xf numFmtId="165" fontId="22" fillId="0" borderId="30" xfId="0" applyNumberFormat="1" applyFont="1" applyFill="1" applyBorder="1" applyAlignment="1">
      <alignment horizontal="right" vertical="center"/>
    </xf>
    <xf numFmtId="165" fontId="23" fillId="0" borderId="30" xfId="0" applyNumberFormat="1" applyFont="1" applyFill="1" applyBorder="1" applyAlignment="1">
      <alignment vertical="center"/>
    </xf>
    <xf numFmtId="165" fontId="23" fillId="0" borderId="0" xfId="0" applyNumberFormat="1" applyFont="1" applyFill="1" applyAlignment="1">
      <alignment horizontal="left" vertical="center"/>
    </xf>
    <xf numFmtId="1" fontId="35" fillId="0" borderId="30" xfId="0" applyNumberFormat="1" applyFont="1" applyFill="1" applyBorder="1" applyAlignment="1">
      <alignment horizontal="left" vertical="center"/>
    </xf>
    <xf numFmtId="1" fontId="39" fillId="0" borderId="0" xfId="0" applyNumberFormat="1" applyFont="1" applyFill="1" applyAlignment="1">
      <alignment horizontal="left" vertical="center"/>
    </xf>
    <xf numFmtId="165" fontId="23" fillId="0" borderId="0" xfId="0" applyNumberFormat="1" applyFont="1" applyFill="1" applyAlignment="1">
      <alignment horizontal="right" vertical="center"/>
    </xf>
    <xf numFmtId="165" fontId="22" fillId="13" borderId="16" xfId="0" applyNumberFormat="1" applyFont="1" applyFill="1" applyBorder="1" applyAlignment="1">
      <alignment horizontal="right" vertical="center"/>
    </xf>
    <xf numFmtId="165" fontId="23" fillId="13" borderId="30" xfId="0" applyNumberFormat="1" applyFont="1" applyFill="1" applyBorder="1" applyAlignment="1">
      <alignment vertical="center"/>
    </xf>
    <xf numFmtId="165" fontId="22" fillId="13" borderId="16" xfId="0" applyNumberFormat="1" applyFont="1" applyFill="1" applyBorder="1" applyAlignment="1">
      <alignment vertical="center"/>
    </xf>
    <xf numFmtId="165" fontId="23" fillId="13" borderId="15" xfId="0" applyNumberFormat="1" applyFont="1" applyFill="1" applyBorder="1" applyAlignment="1">
      <alignment vertical="center"/>
    </xf>
    <xf numFmtId="165" fontId="23" fillId="13" borderId="32" xfId="0" applyNumberFormat="1" applyFont="1" applyFill="1" applyBorder="1" applyAlignment="1">
      <alignment vertical="center"/>
    </xf>
    <xf numFmtId="165" fontId="23" fillId="13" borderId="4" xfId="0" applyNumberFormat="1" applyFont="1" applyFill="1" applyBorder="1" applyAlignment="1">
      <alignment vertical="center"/>
    </xf>
    <xf numFmtId="165" fontId="23" fillId="13" borderId="25" xfId="0" applyNumberFormat="1" applyFont="1" applyFill="1" applyBorder="1" applyAlignment="1">
      <alignment vertical="center"/>
    </xf>
    <xf numFmtId="165" fontId="22" fillId="27" borderId="25" xfId="0" applyNumberFormat="1" applyFont="1" applyFill="1" applyBorder="1" applyAlignment="1">
      <alignment vertical="center"/>
    </xf>
    <xf numFmtId="165" fontId="11" fillId="0" borderId="31" xfId="0" applyNumberFormat="1" applyFont="1" applyBorder="1" applyAlignment="1">
      <alignment horizontal="left"/>
    </xf>
    <xf numFmtId="2" fontId="11" fillId="0" borderId="17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" fontId="10" fillId="0" borderId="0" xfId="0" applyNumberFormat="1" applyFont="1" applyFill="1" applyBorder="1" applyAlignment="1">
      <alignment shrinkToFit="1"/>
    </xf>
    <xf numFmtId="165" fontId="11" fillId="0" borderId="3" xfId="0" applyNumberFormat="1" applyFont="1" applyBorder="1" applyAlignment="1">
      <alignment shrinkToFit="1"/>
    </xf>
    <xf numFmtId="1" fontId="10" fillId="0" borderId="38" xfId="0" applyNumberFormat="1" applyFont="1" applyBorder="1" applyAlignment="1">
      <alignment shrinkToFit="1"/>
    </xf>
    <xf numFmtId="165" fontId="10" fillId="0" borderId="31" xfId="0" applyNumberFormat="1" applyFont="1" applyBorder="1" applyAlignment="1">
      <alignment horizontal="center"/>
    </xf>
    <xf numFmtId="165" fontId="12" fillId="0" borderId="48" xfId="0" applyNumberFormat="1" applyFont="1" applyBorder="1" applyAlignment="1">
      <alignment shrinkToFit="1"/>
    </xf>
    <xf numFmtId="165" fontId="12" fillId="0" borderId="48" xfId="0" applyNumberFormat="1" applyFont="1" applyBorder="1"/>
    <xf numFmtId="2" fontId="10" fillId="0" borderId="7" xfId="0" applyNumberFormat="1" applyFont="1" applyFill="1" applyBorder="1" applyAlignment="1">
      <alignment shrinkToFit="1"/>
    </xf>
    <xf numFmtId="166" fontId="2" fillId="0" borderId="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" fontId="3" fillId="0" borderId="52" xfId="0" applyNumberFormat="1" applyFont="1" applyBorder="1"/>
    <xf numFmtId="165" fontId="9" fillId="0" borderId="4" xfId="0" applyNumberFormat="1" applyFont="1" applyBorder="1" applyAlignment="1">
      <alignment vertical="center" shrinkToFit="1"/>
    </xf>
    <xf numFmtId="166" fontId="3" fillId="0" borderId="0" xfId="0" applyNumberFormat="1" applyFont="1" applyFill="1"/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18" xfId="0" applyNumberFormat="1" applyFont="1" applyFill="1" applyBorder="1" applyAlignment="1">
      <alignment horizontal="right"/>
    </xf>
    <xf numFmtId="166" fontId="3" fillId="0" borderId="19" xfId="0" applyNumberFormat="1" applyFont="1" applyFill="1" applyBorder="1" applyAlignment="1">
      <alignment horizontal="right"/>
    </xf>
    <xf numFmtId="166" fontId="3" fillId="0" borderId="65" xfId="0" applyNumberFormat="1" applyFont="1" applyFill="1" applyBorder="1" applyAlignment="1">
      <alignment horizontal="right"/>
    </xf>
    <xf numFmtId="166" fontId="3" fillId="0" borderId="6" xfId="0" applyNumberFormat="1" applyFont="1" applyFill="1" applyBorder="1" applyAlignment="1">
      <alignment horizontal="right"/>
    </xf>
    <xf numFmtId="166" fontId="3" fillId="0" borderId="5" xfId="0" applyNumberFormat="1" applyFont="1" applyFill="1" applyBorder="1" applyAlignment="1">
      <alignment horizontal="right"/>
    </xf>
    <xf numFmtId="166" fontId="2" fillId="0" borderId="11" xfId="0" applyNumberFormat="1" applyFont="1" applyFill="1" applyBorder="1" applyAlignment="1">
      <alignment horizontal="right"/>
    </xf>
    <xf numFmtId="166" fontId="2" fillId="0" borderId="10" xfId="0" applyNumberFormat="1" applyFont="1" applyFill="1" applyBorder="1" applyAlignment="1">
      <alignment horizontal="right"/>
    </xf>
    <xf numFmtId="166" fontId="3" fillId="0" borderId="10" xfId="0" applyNumberFormat="1" applyFont="1" applyFill="1" applyBorder="1" applyAlignment="1">
      <alignment horizontal="right"/>
    </xf>
    <xf numFmtId="166" fontId="3" fillId="0" borderId="11" xfId="0" applyNumberFormat="1" applyFont="1" applyFill="1" applyBorder="1" applyAlignment="1">
      <alignment horizontal="right"/>
    </xf>
    <xf numFmtId="166" fontId="2" fillId="0" borderId="7" xfId="0" applyNumberFormat="1" applyFont="1" applyFill="1" applyBorder="1" applyAlignment="1">
      <alignment horizontal="right"/>
    </xf>
    <xf numFmtId="166" fontId="2" fillId="0" borderId="9" xfId="0" applyNumberFormat="1" applyFont="1" applyFill="1" applyBorder="1" applyAlignment="1">
      <alignment horizontal="right"/>
    </xf>
    <xf numFmtId="166" fontId="2" fillId="0" borderId="23" xfId="0" applyNumberFormat="1" applyFont="1" applyFill="1" applyBorder="1" applyAlignment="1">
      <alignment horizontal="right"/>
    </xf>
    <xf numFmtId="166" fontId="2" fillId="0" borderId="24" xfId="0" applyNumberFormat="1" applyFont="1" applyFill="1" applyBorder="1" applyAlignment="1">
      <alignment horizontal="right"/>
    </xf>
    <xf numFmtId="166" fontId="2" fillId="0" borderId="72" xfId="0" applyNumberFormat="1" applyFont="1" applyFill="1" applyBorder="1" applyAlignment="1">
      <alignment horizontal="right"/>
    </xf>
    <xf numFmtId="166" fontId="2" fillId="0" borderId="13" xfId="0" applyNumberFormat="1" applyFont="1" applyFill="1" applyBorder="1" applyAlignment="1">
      <alignment horizontal="right"/>
    </xf>
    <xf numFmtId="166" fontId="2" fillId="0" borderId="12" xfId="0" applyNumberFormat="1" applyFont="1" applyFill="1" applyBorder="1" applyAlignment="1">
      <alignment horizontal="right"/>
    </xf>
    <xf numFmtId="166" fontId="2" fillId="0" borderId="2" xfId="0" applyNumberFormat="1" applyFont="1" applyFill="1" applyBorder="1" applyAlignment="1">
      <alignment horizontal="right" vertical="center"/>
    </xf>
    <xf numFmtId="166" fontId="2" fillId="0" borderId="17" xfId="0" applyNumberFormat="1" applyFont="1" applyFill="1" applyBorder="1" applyAlignment="1">
      <alignment horizontal="right" vertical="center"/>
    </xf>
    <xf numFmtId="166" fontId="2" fillId="0" borderId="46" xfId="0" applyNumberFormat="1" applyFont="1" applyFill="1" applyBorder="1" applyAlignment="1">
      <alignment horizontal="right" vertical="center"/>
    </xf>
    <xf numFmtId="166" fontId="2" fillId="0" borderId="64" xfId="0" applyNumberFormat="1" applyFont="1" applyFill="1" applyBorder="1" applyAlignment="1">
      <alignment horizontal="right"/>
    </xf>
    <xf numFmtId="166" fontId="3" fillId="0" borderId="50" xfId="0" applyNumberFormat="1" applyFont="1" applyFill="1" applyBorder="1" applyAlignment="1">
      <alignment horizontal="right"/>
    </xf>
    <xf numFmtId="166" fontId="2" fillId="0" borderId="23" xfId="0" applyNumberFormat="1" applyFont="1" applyFill="1" applyBorder="1" applyAlignment="1">
      <alignment horizontal="right" vertical="center"/>
    </xf>
    <xf numFmtId="166" fontId="12" fillId="0" borderId="31" xfId="0" applyNumberFormat="1" applyFont="1" applyBorder="1" applyAlignment="1"/>
    <xf numFmtId="166" fontId="10" fillId="0" borderId="48" xfId="0" applyNumberFormat="1" applyFont="1" applyFill="1" applyBorder="1" applyAlignment="1">
      <alignment shrinkToFit="1"/>
    </xf>
    <xf numFmtId="166" fontId="12" fillId="0" borderId="48" xfId="0" applyNumberFormat="1" applyFont="1" applyBorder="1"/>
    <xf numFmtId="166" fontId="11" fillId="0" borderId="31" xfId="0" applyNumberFormat="1" applyFont="1" applyBorder="1" applyAlignment="1"/>
    <xf numFmtId="166" fontId="13" fillId="0" borderId="31" xfId="0" applyNumberFormat="1" applyFont="1" applyBorder="1" applyAlignment="1"/>
    <xf numFmtId="166" fontId="11" fillId="0" borderId="48" xfId="0" applyNumberFormat="1" applyFont="1" applyBorder="1"/>
    <xf numFmtId="166" fontId="11" fillId="0" borderId="48" xfId="0" applyNumberFormat="1" applyFont="1" applyBorder="1" applyAlignment="1"/>
    <xf numFmtId="1" fontId="40" fillId="0" borderId="48" xfId="0" applyNumberFormat="1" applyFont="1" applyFill="1" applyBorder="1"/>
    <xf numFmtId="1" fontId="33" fillId="0" borderId="31" xfId="0" applyNumberFormat="1" applyFont="1" applyBorder="1"/>
    <xf numFmtId="0" fontId="2" fillId="0" borderId="38" xfId="0" applyFont="1" applyFill="1" applyBorder="1" applyAlignment="1">
      <alignment horizontal="left" vertical="center" wrapText="1"/>
    </xf>
    <xf numFmtId="166" fontId="7" fillId="0" borderId="5" xfId="0" applyNumberFormat="1" applyFont="1" applyFill="1" applyBorder="1" applyAlignment="1">
      <alignment horizontal="right"/>
    </xf>
    <xf numFmtId="166" fontId="7" fillId="0" borderId="52" xfId="0" applyNumberFormat="1" applyFont="1" applyFill="1" applyBorder="1" applyAlignment="1">
      <alignment horizontal="right"/>
    </xf>
    <xf numFmtId="0" fontId="7" fillId="0" borderId="7" xfId="0" applyFont="1" applyFill="1" applyBorder="1"/>
    <xf numFmtId="0" fontId="7" fillId="0" borderId="8" xfId="0" applyFont="1" applyFill="1" applyBorder="1"/>
    <xf numFmtId="0" fontId="7" fillId="0" borderId="7" xfId="0" applyFont="1" applyFill="1" applyBorder="1" applyAlignment="1">
      <alignment horizontal="center" vertical="center"/>
    </xf>
    <xf numFmtId="166" fontId="7" fillId="0" borderId="11" xfId="0" applyNumberFormat="1" applyFont="1" applyFill="1" applyBorder="1" applyAlignment="1">
      <alignment horizontal="right"/>
    </xf>
    <xf numFmtId="166" fontId="7" fillId="0" borderId="10" xfId="0" applyNumberFormat="1" applyFont="1" applyFill="1" applyBorder="1" applyAlignment="1">
      <alignment horizontal="right"/>
    </xf>
    <xf numFmtId="166" fontId="7" fillId="0" borderId="9" xfId="0" applyNumberFormat="1" applyFont="1" applyFill="1" applyBorder="1" applyAlignment="1">
      <alignment horizontal="right"/>
    </xf>
    <xf numFmtId="0" fontId="7" fillId="0" borderId="0" xfId="0" applyFont="1" applyFill="1"/>
    <xf numFmtId="165" fontId="7" fillId="0" borderId="0" xfId="0" applyNumberFormat="1" applyFont="1" applyFill="1"/>
    <xf numFmtId="1" fontId="6" fillId="0" borderId="7" xfId="0" applyNumberFormat="1" applyFont="1" applyFill="1" applyBorder="1"/>
    <xf numFmtId="1" fontId="6" fillId="0" borderId="8" xfId="0" applyNumberFormat="1" applyFont="1" applyFill="1" applyBorder="1"/>
    <xf numFmtId="1" fontId="6" fillId="0" borderId="7" xfId="0" applyNumberFormat="1" applyFont="1" applyFill="1" applyBorder="1" applyAlignment="1">
      <alignment horizontal="center" vertical="center"/>
    </xf>
    <xf numFmtId="166" fontId="6" fillId="0" borderId="10" xfId="0" applyNumberFormat="1" applyFont="1" applyFill="1" applyBorder="1" applyAlignment="1">
      <alignment horizontal="right"/>
    </xf>
    <xf numFmtId="1" fontId="6" fillId="0" borderId="0" xfId="0" applyNumberFormat="1" applyFont="1" applyFill="1"/>
    <xf numFmtId="164" fontId="6" fillId="0" borderId="0" xfId="0" applyNumberFormat="1" applyFont="1" applyFill="1"/>
    <xf numFmtId="1" fontId="7" fillId="0" borderId="8" xfId="0" applyNumberFormat="1" applyFont="1" applyFill="1" applyBorder="1"/>
    <xf numFmtId="166" fontId="6" fillId="0" borderId="11" xfId="0" applyNumberFormat="1" applyFont="1" applyFill="1" applyBorder="1" applyAlignment="1">
      <alignment horizontal="right"/>
    </xf>
    <xf numFmtId="165" fontId="10" fillId="0" borderId="32" xfId="0" applyNumberFormat="1" applyFont="1" applyBorder="1" applyAlignment="1">
      <alignment horizontal="left" vertical="center" wrapText="1"/>
    </xf>
    <xf numFmtId="165" fontId="10" fillId="0" borderId="30" xfId="0" applyNumberFormat="1" applyFont="1" applyBorder="1" applyAlignment="1">
      <alignment horizontal="left" vertical="center" wrapText="1"/>
    </xf>
    <xf numFmtId="1" fontId="10" fillId="0" borderId="30" xfId="0" applyNumberFormat="1" applyFont="1" applyBorder="1" applyAlignment="1">
      <alignment horizontal="left" vertical="center" wrapText="1"/>
    </xf>
    <xf numFmtId="1" fontId="10" fillId="0" borderId="30" xfId="0" applyNumberFormat="1" applyFont="1" applyFill="1" applyBorder="1" applyAlignment="1">
      <alignment horizontal="left" vertical="center" wrapText="1"/>
    </xf>
    <xf numFmtId="165" fontId="11" fillId="0" borderId="30" xfId="0" applyNumberFormat="1" applyFont="1" applyFill="1" applyBorder="1" applyAlignment="1">
      <alignment vertical="center" wrapText="1"/>
    </xf>
    <xf numFmtId="165" fontId="10" fillId="0" borderId="30" xfId="0" applyNumberFormat="1" applyFont="1" applyFill="1" applyBorder="1" applyAlignment="1">
      <alignment vertical="center" wrapText="1"/>
    </xf>
    <xf numFmtId="165" fontId="10" fillId="0" borderId="33" xfId="0" applyNumberFormat="1" applyFont="1" applyFill="1" applyBorder="1" applyAlignment="1">
      <alignment vertical="center" wrapText="1"/>
    </xf>
    <xf numFmtId="165" fontId="10" fillId="0" borderId="33" xfId="0" applyNumberFormat="1" applyFont="1" applyBorder="1" applyAlignment="1">
      <alignment vertical="center" wrapText="1"/>
    </xf>
    <xf numFmtId="2" fontId="10" fillId="0" borderId="33" xfId="0" applyNumberFormat="1" applyFont="1" applyBorder="1" applyAlignment="1">
      <alignment vertical="center" wrapText="1"/>
    </xf>
    <xf numFmtId="165" fontId="24" fillId="8" borderId="16" xfId="0" applyNumberFormat="1" applyFont="1" applyFill="1" applyBorder="1" applyAlignment="1">
      <alignment vertical="center" wrapText="1"/>
    </xf>
    <xf numFmtId="165" fontId="26" fillId="5" borderId="16" xfId="0" applyNumberFormat="1" applyFont="1" applyFill="1" applyBorder="1" applyAlignment="1">
      <alignment horizontal="left" vertical="center" wrapText="1"/>
    </xf>
    <xf numFmtId="165" fontId="11" fillId="0" borderId="30" xfId="0" applyNumberFormat="1" applyFont="1" applyBorder="1" applyAlignment="1">
      <alignment horizontal="left" vertical="center" wrapText="1"/>
    </xf>
    <xf numFmtId="165" fontId="24" fillId="5" borderId="43" xfId="0" applyNumberFormat="1" applyFont="1" applyFill="1" applyBorder="1" applyAlignment="1">
      <alignment horizontal="left" vertical="center" wrapText="1"/>
    </xf>
    <xf numFmtId="165" fontId="24" fillId="4" borderId="16" xfId="0" applyNumberFormat="1" applyFont="1" applyFill="1" applyBorder="1" applyAlignment="1">
      <alignment horizontal="left" vertical="center" wrapText="1"/>
    </xf>
    <xf numFmtId="165" fontId="24" fillId="4" borderId="34" xfId="0" applyNumberFormat="1" applyFont="1" applyFill="1" applyBorder="1" applyAlignment="1">
      <alignment horizontal="left" vertical="center" wrapText="1"/>
    </xf>
    <xf numFmtId="166" fontId="12" fillId="0" borderId="32" xfId="0" applyNumberFormat="1" applyFont="1" applyFill="1" applyBorder="1" applyAlignment="1">
      <alignment vertical="center" wrapText="1"/>
    </xf>
    <xf numFmtId="166" fontId="8" fillId="0" borderId="7" xfId="0" applyNumberFormat="1" applyFont="1" applyBorder="1" applyAlignment="1">
      <alignment vertical="center" shrinkToFit="1"/>
    </xf>
    <xf numFmtId="166" fontId="8" fillId="0" borderId="9" xfId="0" applyNumberFormat="1" applyFont="1" applyBorder="1" applyAlignment="1">
      <alignment vertical="center" shrinkToFit="1"/>
    </xf>
    <xf numFmtId="166" fontId="8" fillId="0" borderId="8" xfId="0" applyNumberFormat="1" applyFont="1" applyBorder="1" applyAlignment="1">
      <alignment vertical="center" shrinkToFit="1"/>
    </xf>
    <xf numFmtId="166" fontId="9" fillId="0" borderId="1" xfId="0" applyNumberFormat="1" applyFont="1" applyFill="1" applyBorder="1" applyAlignment="1">
      <alignment vertical="center" shrinkToFit="1"/>
    </xf>
    <xf numFmtId="166" fontId="8" fillId="0" borderId="48" xfId="0" applyNumberFormat="1" applyFont="1" applyBorder="1" applyAlignment="1">
      <alignment vertical="center" shrinkToFit="1"/>
    </xf>
    <xf numFmtId="166" fontId="8" fillId="0" borderId="32" xfId="0" applyNumberFormat="1" applyFont="1" applyBorder="1" applyAlignment="1">
      <alignment vertical="center" shrinkToFit="1"/>
    </xf>
    <xf numFmtId="166" fontId="8" fillId="0" borderId="38" xfId="0" applyNumberFormat="1" applyFont="1" applyFill="1" applyBorder="1" applyAlignment="1">
      <alignment vertical="center" shrinkToFit="1"/>
    </xf>
    <xf numFmtId="166" fontId="8" fillId="0" borderId="48" xfId="0" applyNumberFormat="1" applyFont="1" applyFill="1" applyBorder="1" applyAlignment="1">
      <alignment vertical="center" shrinkToFit="1"/>
    </xf>
    <xf numFmtId="166" fontId="8" fillId="0" borderId="10" xfId="0" applyNumberFormat="1" applyFont="1" applyFill="1" applyBorder="1" applyAlignment="1">
      <alignment vertical="center" shrinkToFit="1"/>
    </xf>
    <xf numFmtId="166" fontId="8" fillId="0" borderId="52" xfId="0" applyNumberFormat="1" applyFont="1" applyBorder="1" applyAlignment="1">
      <alignment vertical="center" shrinkToFit="1"/>
    </xf>
    <xf numFmtId="166" fontId="8" fillId="0" borderId="1" xfId="0" applyNumberFormat="1" applyFont="1" applyBorder="1" applyAlignment="1">
      <alignment vertical="center" shrinkToFit="1"/>
    </xf>
    <xf numFmtId="166" fontId="8" fillId="0" borderId="43" xfId="0" applyNumberFormat="1" applyFont="1" applyFill="1" applyBorder="1" applyAlignment="1">
      <alignment vertical="center" shrinkToFit="1"/>
    </xf>
    <xf numFmtId="166" fontId="8" fillId="0" borderId="0" xfId="0" applyNumberFormat="1" applyFont="1" applyFill="1" applyBorder="1" applyAlignment="1">
      <alignment vertical="center" shrinkToFit="1"/>
    </xf>
    <xf numFmtId="166" fontId="8" fillId="0" borderId="60" xfId="0" applyNumberFormat="1" applyFont="1" applyFill="1" applyBorder="1" applyAlignment="1">
      <alignment vertical="center" shrinkToFit="1"/>
    </xf>
    <xf numFmtId="166" fontId="8" fillId="0" borderId="1" xfId="0" applyNumberFormat="1" applyFont="1" applyFill="1" applyBorder="1" applyAlignment="1">
      <alignment vertical="center" shrinkToFit="1"/>
    </xf>
    <xf numFmtId="166" fontId="8" fillId="0" borderId="52" xfId="0" applyNumberFormat="1" applyFont="1" applyFill="1" applyBorder="1" applyAlignment="1">
      <alignment vertical="center" shrinkToFit="1"/>
    </xf>
    <xf numFmtId="166" fontId="8" fillId="25" borderId="1" xfId="0" applyNumberFormat="1" applyFont="1" applyFill="1" applyBorder="1" applyAlignment="1">
      <alignment vertical="center" shrinkToFit="1"/>
    </xf>
    <xf numFmtId="166" fontId="8" fillId="0" borderId="0" xfId="0" applyNumberFormat="1" applyFont="1" applyFill="1" applyAlignment="1">
      <alignment vertical="center"/>
    </xf>
    <xf numFmtId="166" fontId="8" fillId="0" borderId="44" xfId="0" applyNumberFormat="1" applyFont="1" applyFill="1" applyBorder="1" applyAlignment="1">
      <alignment vertical="center" shrinkToFit="1"/>
    </xf>
    <xf numFmtId="166" fontId="8" fillId="0" borderId="72" xfId="0" applyNumberFormat="1" applyFont="1" applyBorder="1" applyAlignment="1">
      <alignment vertical="center" shrinkToFit="1"/>
    </xf>
    <xf numFmtId="166" fontId="8" fillId="0" borderId="51" xfId="0" applyNumberFormat="1" applyFont="1" applyBorder="1" applyAlignment="1">
      <alignment vertical="center" shrinkToFit="1"/>
    </xf>
    <xf numFmtId="166" fontId="8" fillId="0" borderId="77" xfId="0" applyNumberFormat="1" applyFont="1" applyFill="1" applyBorder="1" applyAlignment="1">
      <alignment vertical="center" shrinkToFit="1"/>
    </xf>
    <xf numFmtId="166" fontId="8" fillId="0" borderId="13" xfId="0" applyNumberFormat="1" applyFont="1" applyFill="1" applyBorder="1" applyAlignment="1">
      <alignment vertical="center" shrinkToFit="1"/>
    </xf>
    <xf numFmtId="166" fontId="8" fillId="0" borderId="12" xfId="0" applyNumberFormat="1" applyFont="1" applyFill="1" applyBorder="1" applyAlignment="1">
      <alignment vertical="center" shrinkToFit="1"/>
    </xf>
    <xf numFmtId="166" fontId="8" fillId="0" borderId="7" xfId="0" applyNumberFormat="1" applyFont="1" applyFill="1" applyBorder="1" applyAlignment="1">
      <alignment vertical="center" shrinkToFit="1"/>
    </xf>
    <xf numFmtId="166" fontId="8" fillId="0" borderId="20" xfId="0" applyNumberFormat="1" applyFont="1" applyFill="1" applyBorder="1" applyAlignment="1">
      <alignment vertical="center" shrinkToFit="1"/>
    </xf>
    <xf numFmtId="166" fontId="8" fillId="25" borderId="7" xfId="0" applyNumberFormat="1" applyFont="1" applyFill="1" applyBorder="1" applyAlignment="1">
      <alignment vertical="center" shrinkToFit="1"/>
    </xf>
    <xf numFmtId="166" fontId="9" fillId="17" borderId="7" xfId="0" applyNumberFormat="1" applyFont="1" applyFill="1" applyBorder="1" applyAlignment="1">
      <alignment vertical="center" shrinkToFit="1"/>
    </xf>
    <xf numFmtId="166" fontId="9" fillId="17" borderId="9" xfId="0" applyNumberFormat="1" applyFont="1" applyFill="1" applyBorder="1" applyAlignment="1">
      <alignment vertical="center" shrinkToFit="1"/>
    </xf>
    <xf numFmtId="166" fontId="9" fillId="17" borderId="8" xfId="0" applyNumberFormat="1" applyFont="1" applyFill="1" applyBorder="1" applyAlignment="1">
      <alignment vertical="center" shrinkToFit="1"/>
    </xf>
    <xf numFmtId="166" fontId="9" fillId="17" borderId="48" xfId="0" applyNumberFormat="1" applyFont="1" applyFill="1" applyBorder="1" applyAlignment="1">
      <alignment vertical="center" shrinkToFit="1"/>
    </xf>
    <xf numFmtId="166" fontId="9" fillId="17" borderId="30" xfId="0" applyNumberFormat="1" applyFont="1" applyFill="1" applyBorder="1" applyAlignment="1">
      <alignment vertical="center" shrinkToFit="1"/>
    </xf>
    <xf numFmtId="166" fontId="9" fillId="17" borderId="10" xfId="0" applyNumberFormat="1" applyFont="1" applyFill="1" applyBorder="1" applyAlignment="1">
      <alignment vertical="center" shrinkToFit="1"/>
    </xf>
    <xf numFmtId="166" fontId="9" fillId="17" borderId="20" xfId="0" applyNumberFormat="1" applyFont="1" applyFill="1" applyBorder="1" applyAlignment="1">
      <alignment vertical="center" shrinkToFit="1"/>
    </xf>
    <xf numFmtId="166" fontId="9" fillId="17" borderId="11" xfId="0" applyNumberFormat="1" applyFont="1" applyFill="1" applyBorder="1" applyAlignment="1">
      <alignment vertical="center" shrinkToFit="1"/>
    </xf>
    <xf numFmtId="166" fontId="9" fillId="0" borderId="0" xfId="0" applyNumberFormat="1" applyFont="1" applyFill="1" applyBorder="1" applyAlignment="1">
      <alignment vertical="center" shrinkToFit="1"/>
    </xf>
    <xf numFmtId="166" fontId="9" fillId="0" borderId="60" xfId="0" applyNumberFormat="1" applyFont="1" applyFill="1" applyBorder="1" applyAlignment="1">
      <alignment vertical="center" shrinkToFit="1"/>
    </xf>
    <xf numFmtId="166" fontId="9" fillId="0" borderId="0" xfId="0" applyNumberFormat="1" applyFont="1" applyAlignment="1">
      <alignment vertical="center"/>
    </xf>
    <xf numFmtId="166" fontId="27" fillId="12" borderId="16" xfId="0" applyNumberFormat="1" applyFont="1" applyFill="1" applyBorder="1" applyAlignment="1">
      <alignment horizontal="left" vertical="center" wrapText="1"/>
    </xf>
    <xf numFmtId="166" fontId="28" fillId="12" borderId="15" xfId="0" applyNumberFormat="1" applyFont="1" applyFill="1" applyBorder="1" applyAlignment="1">
      <alignment vertical="center" shrinkToFit="1"/>
    </xf>
    <xf numFmtId="166" fontId="28" fillId="12" borderId="37" xfId="0" applyNumberFormat="1" applyFont="1" applyFill="1" applyBorder="1" applyAlignment="1">
      <alignment vertical="center" shrinkToFit="1"/>
    </xf>
    <xf numFmtId="166" fontId="28" fillId="12" borderId="67" xfId="0" applyNumberFormat="1" applyFont="1" applyFill="1" applyBorder="1" applyAlignment="1">
      <alignment vertical="center" shrinkToFit="1"/>
    </xf>
    <xf numFmtId="166" fontId="28" fillId="12" borderId="66" xfId="0" applyNumberFormat="1" applyFont="1" applyFill="1" applyBorder="1" applyAlignment="1">
      <alignment vertical="center" shrinkToFit="1"/>
    </xf>
    <xf numFmtId="166" fontId="28" fillId="12" borderId="16" xfId="0" applyNumberFormat="1" applyFont="1" applyFill="1" applyBorder="1" applyAlignment="1">
      <alignment vertical="center" shrinkToFit="1"/>
    </xf>
    <xf numFmtId="166" fontId="28" fillId="12" borderId="17" xfId="0" applyNumberFormat="1" applyFont="1" applyFill="1" applyBorder="1" applyAlignment="1">
      <alignment vertical="center" shrinkToFit="1"/>
    </xf>
    <xf numFmtId="166" fontId="8" fillId="12" borderId="3" xfId="0" applyNumberFormat="1" applyFont="1" applyFill="1" applyBorder="1" applyAlignment="1">
      <alignment vertical="center" shrinkToFit="1"/>
    </xf>
    <xf numFmtId="166" fontId="28" fillId="12" borderId="2" xfId="0" applyNumberFormat="1" applyFont="1" applyFill="1" applyBorder="1" applyAlignment="1">
      <alignment vertical="center" shrinkToFit="1"/>
    </xf>
    <xf numFmtId="166" fontId="28" fillId="0" borderId="43" xfId="0" applyNumberFormat="1" applyFont="1" applyFill="1" applyBorder="1" applyAlignment="1">
      <alignment vertical="center" shrinkToFit="1"/>
    </xf>
    <xf numFmtId="166" fontId="28" fillId="0" borderId="0" xfId="0" applyNumberFormat="1" applyFont="1" applyFill="1" applyBorder="1" applyAlignment="1">
      <alignment vertical="center" shrinkToFit="1"/>
    </xf>
    <xf numFmtId="166" fontId="28" fillId="0" borderId="60" xfId="0" applyNumberFormat="1" applyFont="1" applyFill="1" applyBorder="1" applyAlignment="1">
      <alignment vertical="center" shrinkToFit="1"/>
    </xf>
    <xf numFmtId="166" fontId="28" fillId="12" borderId="3" xfId="0" applyNumberFormat="1" applyFont="1" applyFill="1" applyBorder="1" applyAlignment="1">
      <alignment vertical="center" shrinkToFit="1"/>
    </xf>
    <xf numFmtId="166" fontId="28" fillId="0" borderId="0" xfId="0" applyNumberFormat="1" applyFont="1" applyAlignment="1">
      <alignment vertical="center"/>
    </xf>
    <xf numFmtId="166" fontId="25" fillId="9" borderId="32" xfId="0" applyNumberFormat="1" applyFont="1" applyFill="1" applyBorder="1" applyAlignment="1">
      <alignment vertical="center" wrapText="1"/>
    </xf>
    <xf numFmtId="166" fontId="8" fillId="9" borderId="1" xfId="0" applyNumberFormat="1" applyFont="1" applyFill="1" applyBorder="1" applyAlignment="1">
      <alignment vertical="center" shrinkToFit="1"/>
    </xf>
    <xf numFmtId="166" fontId="8" fillId="9" borderId="32" xfId="0" applyNumberFormat="1" applyFont="1" applyFill="1" applyBorder="1" applyAlignment="1">
      <alignment vertical="center" shrinkToFit="1"/>
    </xf>
    <xf numFmtId="166" fontId="8" fillId="9" borderId="52" xfId="0" applyNumberFormat="1" applyFont="1" applyFill="1" applyBorder="1" applyAlignment="1">
      <alignment vertical="center" shrinkToFit="1"/>
    </xf>
    <xf numFmtId="166" fontId="8" fillId="0" borderId="0" xfId="0" applyNumberFormat="1" applyFont="1" applyAlignment="1">
      <alignment vertical="center"/>
    </xf>
    <xf numFmtId="166" fontId="8" fillId="0" borderId="31" xfId="0" applyNumberFormat="1" applyFont="1" applyBorder="1" applyAlignment="1">
      <alignment vertical="center" shrinkToFit="1"/>
    </xf>
    <xf numFmtId="166" fontId="8" fillId="10" borderId="1" xfId="0" applyNumberFormat="1" applyFont="1" applyFill="1" applyBorder="1" applyAlignment="1">
      <alignment vertical="center" shrinkToFit="1"/>
    </xf>
    <xf numFmtId="166" fontId="8" fillId="0" borderId="32" xfId="0" applyNumberFormat="1" applyFont="1" applyFill="1" applyBorder="1" applyAlignment="1">
      <alignment vertical="center" shrinkToFit="1"/>
    </xf>
    <xf numFmtId="166" fontId="8" fillId="0" borderId="11" xfId="0" applyNumberFormat="1" applyFont="1" applyFill="1" applyBorder="1" applyAlignment="1">
      <alignment vertical="center" shrinkToFit="1"/>
    </xf>
    <xf numFmtId="166" fontId="11" fillId="0" borderId="32" xfId="0" applyNumberFormat="1" applyFont="1" applyBorder="1" applyAlignment="1">
      <alignment vertical="center" wrapText="1"/>
    </xf>
    <xf numFmtId="166" fontId="8" fillId="0" borderId="65" xfId="0" applyNumberFormat="1" applyFont="1" applyBorder="1" applyAlignment="1">
      <alignment vertical="center" shrinkToFit="1"/>
    </xf>
    <xf numFmtId="166" fontId="8" fillId="0" borderId="38" xfId="0" applyNumberFormat="1" applyFont="1" applyBorder="1" applyAlignment="1">
      <alignment vertical="center" shrinkToFit="1"/>
    </xf>
    <xf numFmtId="166" fontId="9" fillId="0" borderId="38" xfId="0" applyNumberFormat="1" applyFont="1" applyBorder="1" applyAlignment="1">
      <alignment vertical="center" shrinkToFit="1"/>
    </xf>
    <xf numFmtId="166" fontId="9" fillId="0" borderId="5" xfId="0" applyNumberFormat="1" applyFont="1" applyBorder="1" applyAlignment="1">
      <alignment vertical="center" shrinkToFit="1"/>
    </xf>
    <xf numFmtId="166" fontId="9" fillId="0" borderId="6" xfId="0" applyNumberFormat="1" applyFont="1" applyBorder="1" applyAlignment="1">
      <alignment vertical="center" shrinkToFit="1"/>
    </xf>
    <xf numFmtId="166" fontId="9" fillId="0" borderId="58" xfId="0" applyNumberFormat="1" applyFont="1" applyBorder="1" applyAlignment="1">
      <alignment vertical="center" shrinkToFit="1"/>
    </xf>
    <xf numFmtId="166" fontId="9" fillId="0" borderId="43" xfId="0" applyNumberFormat="1" applyFont="1" applyFill="1" applyBorder="1" applyAlignment="1">
      <alignment vertical="center" shrinkToFit="1"/>
    </xf>
    <xf numFmtId="166" fontId="9" fillId="0" borderId="1" xfId="0" applyNumberFormat="1" applyFont="1" applyBorder="1" applyAlignment="1">
      <alignment vertical="center" shrinkToFit="1"/>
    </xf>
    <xf numFmtId="166" fontId="9" fillId="0" borderId="8" xfId="0" applyNumberFormat="1" applyFont="1" applyBorder="1" applyAlignment="1">
      <alignment vertical="center" shrinkToFit="1"/>
    </xf>
    <xf numFmtId="166" fontId="9" fillId="0" borderId="31" xfId="0" applyNumberFormat="1" applyFont="1" applyBorder="1" applyAlignment="1">
      <alignment vertical="center" shrinkToFit="1"/>
    </xf>
    <xf numFmtId="166" fontId="9" fillId="0" borderId="11" xfId="0" applyNumberFormat="1" applyFont="1" applyBorder="1" applyAlignment="1">
      <alignment vertical="center" shrinkToFit="1"/>
    </xf>
    <xf numFmtId="166" fontId="9" fillId="0" borderId="10" xfId="0" applyNumberFormat="1" applyFont="1" applyBorder="1" applyAlignment="1">
      <alignment vertical="center" shrinkToFit="1"/>
    </xf>
    <xf numFmtId="166" fontId="9" fillId="0" borderId="48" xfId="0" applyNumberFormat="1" applyFont="1" applyBorder="1" applyAlignment="1">
      <alignment vertical="center" shrinkToFit="1"/>
    </xf>
    <xf numFmtId="166" fontId="9" fillId="0" borderId="7" xfId="0" applyNumberFormat="1" applyFont="1" applyBorder="1" applyAlignment="1">
      <alignment vertical="center" shrinkToFit="1"/>
    </xf>
    <xf numFmtId="166" fontId="9" fillId="0" borderId="20" xfId="0" applyNumberFormat="1" applyFont="1" applyBorder="1" applyAlignment="1">
      <alignment vertical="center" shrinkToFit="1"/>
    </xf>
    <xf numFmtId="166" fontId="9" fillId="0" borderId="9" xfId="0" applyNumberFormat="1" applyFont="1" applyBorder="1" applyAlignment="1">
      <alignment vertical="center" shrinkToFit="1"/>
    </xf>
    <xf numFmtId="166" fontId="9" fillId="0" borderId="30" xfId="0" applyNumberFormat="1" applyFont="1" applyBorder="1" applyAlignment="1">
      <alignment vertical="center" shrinkToFit="1"/>
    </xf>
    <xf numFmtId="166" fontId="9" fillId="14" borderId="7" xfId="0" applyNumberFormat="1" applyFont="1" applyFill="1" applyBorder="1" applyAlignment="1">
      <alignment vertical="center" shrinkToFit="1"/>
    </xf>
    <xf numFmtId="166" fontId="11" fillId="17" borderId="32" xfId="0" applyNumberFormat="1" applyFont="1" applyFill="1" applyBorder="1" applyAlignment="1">
      <alignment vertical="center" wrapText="1"/>
    </xf>
    <xf numFmtId="166" fontId="25" fillId="9" borderId="16" xfId="0" applyNumberFormat="1" applyFont="1" applyFill="1" applyBorder="1" applyAlignment="1">
      <alignment horizontal="left" vertical="center" wrapText="1"/>
    </xf>
    <xf numFmtId="166" fontId="8" fillId="9" borderId="15" xfId="0" applyNumberFormat="1" applyFont="1" applyFill="1" applyBorder="1" applyAlignment="1">
      <alignment vertical="center" shrinkToFit="1"/>
    </xf>
    <xf numFmtId="166" fontId="8" fillId="9" borderId="37" xfId="0" applyNumberFormat="1" applyFont="1" applyFill="1" applyBorder="1" applyAlignment="1">
      <alignment vertical="center" shrinkToFit="1"/>
    </xf>
    <xf numFmtId="166" fontId="8" fillId="9" borderId="66" xfId="0" applyNumberFormat="1" applyFont="1" applyFill="1" applyBorder="1" applyAlignment="1">
      <alignment vertical="center" shrinkToFit="1"/>
    </xf>
    <xf numFmtId="166" fontId="8" fillId="9" borderId="2" xfId="0" applyNumberFormat="1" applyFont="1" applyFill="1" applyBorder="1" applyAlignment="1">
      <alignment vertical="center" shrinkToFit="1"/>
    </xf>
    <xf numFmtId="166" fontId="8" fillId="9" borderId="3" xfId="0" applyNumberFormat="1" applyFont="1" applyFill="1" applyBorder="1" applyAlignment="1">
      <alignment vertical="center" shrinkToFit="1"/>
    </xf>
    <xf numFmtId="166" fontId="10" fillId="0" borderId="39" xfId="0" applyNumberFormat="1" applyFont="1" applyBorder="1" applyAlignment="1">
      <alignment vertical="center" wrapText="1"/>
    </xf>
    <xf numFmtId="166" fontId="8" fillId="0" borderId="58" xfId="0" applyNumberFormat="1" applyFont="1" applyBorder="1" applyAlignment="1">
      <alignment vertical="center" shrinkToFit="1"/>
    </xf>
    <xf numFmtId="166" fontId="8" fillId="0" borderId="40" xfId="0" applyNumberFormat="1" applyFont="1" applyBorder="1" applyAlignment="1">
      <alignment vertical="center" shrinkToFit="1"/>
    </xf>
    <xf numFmtId="166" fontId="8" fillId="0" borderId="5" xfId="0" applyNumberFormat="1" applyFont="1" applyBorder="1" applyAlignment="1">
      <alignment vertical="center" shrinkToFit="1"/>
    </xf>
    <xf numFmtId="166" fontId="12" fillId="0" borderId="32" xfId="0" applyNumberFormat="1" applyFont="1" applyBorder="1" applyAlignment="1">
      <alignment vertical="center" wrapText="1"/>
    </xf>
    <xf numFmtId="166" fontId="8" fillId="0" borderId="11" xfId="0" applyNumberFormat="1" applyFont="1" applyBorder="1" applyAlignment="1">
      <alignment vertical="center" shrinkToFit="1"/>
    </xf>
    <xf numFmtId="166" fontId="8" fillId="0" borderId="44" xfId="0" applyNumberFormat="1" applyFont="1" applyBorder="1" applyAlignment="1">
      <alignment vertical="center" shrinkToFit="1"/>
    </xf>
    <xf numFmtId="166" fontId="8" fillId="10" borderId="44" xfId="0" applyNumberFormat="1" applyFont="1" applyFill="1" applyBorder="1" applyAlignment="1">
      <alignment vertical="center" shrinkToFit="1"/>
    </xf>
    <xf numFmtId="166" fontId="10" fillId="0" borderId="32" xfId="0" applyNumberFormat="1" applyFont="1" applyBorder="1" applyAlignment="1">
      <alignment vertical="center" wrapText="1"/>
    </xf>
    <xf numFmtId="166" fontId="8" fillId="0" borderId="20" xfId="0" applyNumberFormat="1" applyFont="1" applyBorder="1" applyAlignment="1">
      <alignment vertical="center" shrinkToFit="1"/>
    </xf>
    <xf numFmtId="166" fontId="10" fillId="0" borderId="22" xfId="0" applyNumberFormat="1" applyFont="1" applyBorder="1" applyAlignment="1">
      <alignment vertical="center" wrapText="1"/>
    </xf>
    <xf numFmtId="166" fontId="8" fillId="0" borderId="12" xfId="0" applyNumberFormat="1" applyFont="1" applyBorder="1" applyAlignment="1">
      <alignment vertical="center" shrinkToFit="1"/>
    </xf>
    <xf numFmtId="166" fontId="8" fillId="0" borderId="49" xfId="0" applyNumberFormat="1" applyFont="1" applyBorder="1" applyAlignment="1">
      <alignment vertical="center" shrinkToFit="1"/>
    </xf>
    <xf numFmtId="166" fontId="8" fillId="0" borderId="28" xfId="0" applyNumberFormat="1" applyFont="1" applyBorder="1" applyAlignment="1">
      <alignment vertical="center" shrinkToFit="1"/>
    </xf>
    <xf numFmtId="166" fontId="8" fillId="9" borderId="16" xfId="0" applyNumberFormat="1" applyFont="1" applyFill="1" applyBorder="1" applyAlignment="1">
      <alignment vertical="center" shrinkToFit="1"/>
    </xf>
    <xf numFmtId="166" fontId="11" fillId="0" borderId="32" xfId="0" applyNumberFormat="1" applyFont="1" applyBorder="1" applyAlignment="1">
      <alignment horizontal="left" vertical="center" wrapText="1"/>
    </xf>
    <xf numFmtId="166" fontId="8" fillId="0" borderId="4" xfId="0" applyNumberFormat="1" applyFont="1" applyBorder="1" applyAlignment="1">
      <alignment vertical="center" shrinkToFit="1"/>
    </xf>
    <xf numFmtId="166" fontId="8" fillId="0" borderId="74" xfId="0" applyNumberFormat="1" applyFont="1" applyBorder="1" applyAlignment="1">
      <alignment vertical="center" shrinkToFit="1"/>
    </xf>
    <xf numFmtId="166" fontId="11" fillId="0" borderId="30" xfId="0" applyNumberFormat="1" applyFont="1" applyBorder="1" applyAlignment="1">
      <alignment horizontal="left" vertical="center" wrapText="1"/>
    </xf>
    <xf numFmtId="166" fontId="8" fillId="14" borderId="7" xfId="0" applyNumberFormat="1" applyFont="1" applyFill="1" applyBorder="1" applyAlignment="1">
      <alignment vertical="center" shrinkToFit="1"/>
    </xf>
    <xf numFmtId="166" fontId="8" fillId="0" borderId="25" xfId="0" applyNumberFormat="1" applyFont="1" applyBorder="1" applyAlignment="1">
      <alignment vertical="center" shrinkToFit="1"/>
    </xf>
    <xf numFmtId="166" fontId="8" fillId="0" borderId="21" xfId="0" applyNumberFormat="1" applyFont="1" applyBorder="1" applyAlignment="1">
      <alignment vertical="center" shrinkToFit="1"/>
    </xf>
    <xf numFmtId="166" fontId="24" fillId="9" borderId="16" xfId="0" applyNumberFormat="1" applyFont="1" applyFill="1" applyBorder="1" applyAlignment="1">
      <alignment horizontal="left" vertical="center" wrapText="1"/>
    </xf>
    <xf numFmtId="166" fontId="8" fillId="9" borderId="14" xfId="0" applyNumberFormat="1" applyFont="1" applyFill="1" applyBorder="1" applyAlignment="1">
      <alignment vertical="center" shrinkToFit="1"/>
    </xf>
    <xf numFmtId="166" fontId="8" fillId="10" borderId="4" xfId="0" applyNumberFormat="1" applyFont="1" applyFill="1" applyBorder="1" applyAlignment="1">
      <alignment vertical="center" shrinkToFit="1"/>
    </xf>
    <xf numFmtId="166" fontId="11" fillId="0" borderId="31" xfId="0" applyNumberFormat="1" applyFont="1" applyBorder="1" applyAlignment="1">
      <alignment horizontal="left" vertical="center" wrapText="1"/>
    </xf>
    <xf numFmtId="166" fontId="8" fillId="10" borderId="7" xfId="0" applyNumberFormat="1" applyFont="1" applyFill="1" applyBorder="1" applyAlignment="1">
      <alignment vertical="center" shrinkToFit="1"/>
    </xf>
    <xf numFmtId="164" fontId="12" fillId="0" borderId="48" xfId="0" applyNumberFormat="1" applyFont="1" applyFill="1" applyBorder="1" applyAlignment="1">
      <alignment horizontal="center" vertical="center" wrapText="1"/>
    </xf>
    <xf numFmtId="165" fontId="10" fillId="0" borderId="48" xfId="0" applyNumberFormat="1" applyFont="1" applyFill="1" applyBorder="1" applyAlignment="1">
      <alignment horizontal="right" vertical="center"/>
    </xf>
    <xf numFmtId="165" fontId="34" fillId="0" borderId="48" xfId="0" applyNumberFormat="1" applyFont="1" applyFill="1" applyBorder="1" applyAlignment="1">
      <alignment horizontal="right" vertical="center"/>
    </xf>
    <xf numFmtId="165" fontId="10" fillId="0" borderId="59" xfId="0" applyNumberFormat="1" applyFont="1" applyFill="1" applyBorder="1" applyAlignment="1">
      <alignment horizontal="right" vertical="center"/>
    </xf>
    <xf numFmtId="165" fontId="11" fillId="0" borderId="67" xfId="0" applyNumberFormat="1" applyFont="1" applyFill="1" applyBorder="1"/>
    <xf numFmtId="166" fontId="10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/>
    <xf numFmtId="166" fontId="3" fillId="0" borderId="0" xfId="1" applyNumberFormat="1" applyFont="1" applyBorder="1"/>
    <xf numFmtId="166" fontId="10" fillId="2" borderId="15" xfId="1" applyNumberFormat="1" applyFont="1" applyFill="1" applyBorder="1" applyAlignment="1">
      <alignment horizontal="center" vertical="center"/>
    </xf>
    <xf numFmtId="166" fontId="10" fillId="11" borderId="37" xfId="1" applyNumberFormat="1" applyFont="1" applyFill="1" applyBorder="1" applyAlignment="1">
      <alignment horizontal="center" vertical="center"/>
    </xf>
    <xf numFmtId="166" fontId="10" fillId="2" borderId="37" xfId="1" applyNumberFormat="1" applyFont="1" applyFill="1" applyBorder="1" applyAlignment="1">
      <alignment horizontal="center" vertical="center"/>
    </xf>
    <xf numFmtId="166" fontId="10" fillId="2" borderId="3" xfId="1" applyNumberFormat="1" applyFont="1" applyFill="1" applyBorder="1" applyAlignment="1">
      <alignment horizontal="center" vertical="center"/>
    </xf>
    <xf numFmtId="166" fontId="13" fillId="2" borderId="16" xfId="1" applyNumberFormat="1" applyFont="1" applyFill="1" applyBorder="1" applyAlignment="1">
      <alignment horizontal="left" vertical="center"/>
    </xf>
    <xf numFmtId="166" fontId="11" fillId="2" borderId="15" xfId="1" applyNumberFormat="1" applyFont="1" applyFill="1" applyBorder="1" applyAlignment="1">
      <alignment horizontal="right"/>
    </xf>
    <xf numFmtId="166" fontId="13" fillId="11" borderId="16" xfId="1" applyNumberFormat="1" applyFont="1" applyFill="1" applyBorder="1" applyAlignment="1">
      <alignment horizontal="right"/>
    </xf>
    <xf numFmtId="166" fontId="10" fillId="0" borderId="15" xfId="1" applyNumberFormat="1" applyFont="1" applyBorder="1" applyAlignment="1">
      <alignment horizontal="center" vertical="center" wrapText="1"/>
    </xf>
    <xf numFmtId="166" fontId="10" fillId="11" borderId="15" xfId="1" applyNumberFormat="1" applyFont="1" applyFill="1" applyBorder="1" applyAlignment="1">
      <alignment horizontal="center" vertical="center" wrapText="1"/>
    </xf>
    <xf numFmtId="166" fontId="10" fillId="11" borderId="16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right" wrapText="1"/>
    </xf>
    <xf numFmtId="166" fontId="2" fillId="0" borderId="1" xfId="0" applyNumberFormat="1" applyFont="1" applyBorder="1" applyAlignment="1">
      <alignment horizontal="right"/>
    </xf>
    <xf numFmtId="166" fontId="2" fillId="0" borderId="1" xfId="1" applyNumberFormat="1" applyFont="1" applyBorder="1" applyAlignment="1">
      <alignment horizontal="right"/>
    </xf>
    <xf numFmtId="166" fontId="2" fillId="0" borderId="4" xfId="0" applyNumberFormat="1" applyFont="1" applyBorder="1" applyAlignment="1">
      <alignment horizontal="right"/>
    </xf>
    <xf numFmtId="166" fontId="2" fillId="11" borderId="1" xfId="1" applyNumberFormat="1" applyFont="1" applyFill="1" applyBorder="1" applyAlignment="1">
      <alignment horizontal="right"/>
    </xf>
    <xf numFmtId="166" fontId="2" fillId="11" borderId="32" xfId="1" applyNumberFormat="1" applyFont="1" applyFill="1" applyBorder="1" applyAlignment="1">
      <alignment horizontal="right"/>
    </xf>
    <xf numFmtId="166" fontId="2" fillId="0" borderId="1" xfId="1" applyNumberFormat="1" applyFont="1" applyBorder="1" applyAlignment="1">
      <alignment horizontal="right" vertical="center"/>
    </xf>
    <xf numFmtId="166" fontId="2" fillId="0" borderId="7" xfId="1" applyNumberFormat="1" applyFont="1" applyBorder="1" applyAlignment="1">
      <alignment horizontal="right"/>
    </xf>
    <xf numFmtId="166" fontId="2" fillId="0" borderId="7" xfId="1" applyNumberFormat="1" applyFont="1" applyBorder="1" applyAlignment="1">
      <alignment horizontal="right" vertical="center"/>
    </xf>
    <xf numFmtId="166" fontId="3" fillId="11" borderId="7" xfId="1" applyNumberFormat="1" applyFont="1" applyFill="1" applyBorder="1" applyAlignment="1">
      <alignment horizontal="right"/>
    </xf>
    <xf numFmtId="166" fontId="3" fillId="0" borderId="7" xfId="1" applyNumberFormat="1" applyFont="1" applyBorder="1" applyAlignment="1">
      <alignment horizontal="right"/>
    </xf>
    <xf numFmtId="166" fontId="3" fillId="11" borderId="30" xfId="1" applyNumberFormat="1" applyFont="1" applyFill="1" applyBorder="1" applyAlignment="1">
      <alignment horizontal="right"/>
    </xf>
    <xf numFmtId="166" fontId="2" fillId="0" borderId="44" xfId="1" applyNumberFormat="1" applyFont="1" applyBorder="1" applyAlignment="1">
      <alignment horizontal="right"/>
    </xf>
    <xf numFmtId="166" fontId="7" fillId="2" borderId="15" xfId="1" applyNumberFormat="1" applyFont="1" applyFill="1" applyBorder="1" applyAlignment="1">
      <alignment horizontal="right"/>
    </xf>
    <xf numFmtId="166" fontId="7" fillId="11" borderId="15" xfId="1" applyNumberFormat="1" applyFont="1" applyFill="1" applyBorder="1" applyAlignment="1">
      <alignment horizontal="right"/>
    </xf>
    <xf numFmtId="166" fontId="2" fillId="21" borderId="15" xfId="1" applyNumberFormat="1" applyFont="1" applyFill="1" applyBorder="1" applyAlignment="1">
      <alignment horizontal="right"/>
    </xf>
    <xf numFmtId="166" fontId="3" fillId="11" borderId="1" xfId="1" applyNumberFormat="1" applyFont="1" applyFill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6" fontId="3" fillId="0" borderId="7" xfId="1" applyNumberFormat="1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right"/>
    </xf>
    <xf numFmtId="166" fontId="18" fillId="0" borderId="1" xfId="1" applyNumberFormat="1" applyFont="1" applyBorder="1" applyAlignment="1">
      <alignment horizontal="right"/>
    </xf>
    <xf numFmtId="166" fontId="2" fillId="22" borderId="15" xfId="1" applyNumberFormat="1" applyFont="1" applyFill="1" applyBorder="1" applyAlignment="1">
      <alignment horizontal="right"/>
    </xf>
    <xf numFmtId="166" fontId="7" fillId="11" borderId="44" xfId="1" applyNumberFormat="1" applyFont="1" applyFill="1" applyBorder="1" applyAlignment="1">
      <alignment horizontal="right"/>
    </xf>
    <xf numFmtId="166" fontId="7" fillId="6" borderId="44" xfId="1" applyNumberFormat="1" applyFont="1" applyFill="1" applyBorder="1" applyAlignment="1">
      <alignment horizontal="right"/>
    </xf>
    <xf numFmtId="166" fontId="2" fillId="23" borderId="1" xfId="1" applyNumberFormat="1" applyFont="1" applyFill="1" applyBorder="1" applyAlignment="1">
      <alignment horizontal="right"/>
    </xf>
    <xf numFmtId="166" fontId="2" fillId="0" borderId="32" xfId="1" applyNumberFormat="1" applyFont="1" applyBorder="1" applyAlignment="1">
      <alignment horizontal="right"/>
    </xf>
    <xf numFmtId="166" fontId="2" fillId="0" borderId="52" xfId="1" applyNumberFormat="1" applyFont="1" applyBorder="1" applyAlignment="1">
      <alignment horizontal="right"/>
    </xf>
    <xf numFmtId="166" fontId="2" fillId="0" borderId="1" xfId="1" applyNumberFormat="1" applyFont="1" applyFill="1" applyBorder="1" applyAlignment="1">
      <alignment horizontal="right" vertical="center"/>
    </xf>
    <xf numFmtId="166" fontId="4" fillId="0" borderId="1" xfId="1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6" fontId="3" fillId="0" borderId="1" xfId="1" applyNumberFormat="1" applyFont="1" applyBorder="1" applyAlignment="1">
      <alignment horizontal="right" vertical="center"/>
    </xf>
    <xf numFmtId="166" fontId="3" fillId="0" borderId="7" xfId="1" applyNumberFormat="1" applyFont="1" applyBorder="1" applyAlignment="1">
      <alignment horizontal="right" vertical="center" wrapText="1"/>
    </xf>
    <xf numFmtId="166" fontId="2" fillId="0" borderId="9" xfId="1" applyNumberFormat="1" applyFont="1" applyBorder="1" applyAlignment="1">
      <alignment horizontal="right"/>
    </xf>
    <xf numFmtId="166" fontId="2" fillId="11" borderId="52" xfId="1" applyNumberFormat="1" applyFont="1" applyFill="1" applyBorder="1" applyAlignment="1">
      <alignment horizontal="right"/>
    </xf>
    <xf numFmtId="166" fontId="3" fillId="0" borderId="28" xfId="1" applyNumberFormat="1" applyFont="1" applyBorder="1" applyAlignment="1">
      <alignment horizontal="right" vertical="center" wrapText="1"/>
    </xf>
    <xf numFmtId="166" fontId="2" fillId="11" borderId="44" xfId="1" applyNumberFormat="1" applyFont="1" applyFill="1" applyBorder="1" applyAlignment="1">
      <alignment horizontal="right"/>
    </xf>
    <xf numFmtId="166" fontId="2" fillId="11" borderId="60" xfId="1" applyNumberFormat="1" applyFont="1" applyFill="1" applyBorder="1" applyAlignment="1">
      <alignment horizontal="right"/>
    </xf>
    <xf numFmtId="166" fontId="3" fillId="0" borderId="28" xfId="1" applyNumberFormat="1" applyFont="1" applyBorder="1" applyAlignment="1">
      <alignment horizontal="right" vertical="center"/>
    </xf>
    <xf numFmtId="166" fontId="2" fillId="11" borderId="48" xfId="1" applyNumberFormat="1" applyFont="1" applyFill="1" applyBorder="1" applyAlignment="1">
      <alignment horizontal="right"/>
    </xf>
    <xf numFmtId="166" fontId="2" fillId="0" borderId="28" xfId="1" applyNumberFormat="1" applyFont="1" applyBorder="1" applyAlignment="1">
      <alignment horizontal="right"/>
    </xf>
    <xf numFmtId="166" fontId="2" fillId="0" borderId="72" xfId="1" applyNumberFormat="1" applyFont="1" applyBorder="1" applyAlignment="1">
      <alignment horizontal="right"/>
    </xf>
    <xf numFmtId="166" fontId="7" fillId="2" borderId="14" xfId="1" applyNumberFormat="1" applyFont="1" applyFill="1" applyBorder="1" applyAlignment="1">
      <alignment horizontal="right"/>
    </xf>
    <xf numFmtId="166" fontId="2" fillId="11" borderId="0" xfId="1" applyNumberFormat="1" applyFont="1" applyFill="1" applyBorder="1" applyAlignment="1">
      <alignment horizontal="right"/>
    </xf>
    <xf numFmtId="166" fontId="7" fillId="11" borderId="14" xfId="1" applyNumberFormat="1" applyFont="1" applyFill="1" applyBorder="1" applyAlignment="1">
      <alignment horizontal="right"/>
    </xf>
    <xf numFmtId="166" fontId="2" fillId="2" borderId="15" xfId="1" applyNumberFormat="1" applyFont="1" applyFill="1" applyBorder="1" applyAlignment="1">
      <alignment horizontal="left" vertical="center"/>
    </xf>
    <xf numFmtId="166" fontId="2" fillId="2" borderId="15" xfId="1" applyNumberFormat="1" applyFont="1" applyFill="1" applyBorder="1"/>
    <xf numFmtId="166" fontId="2" fillId="11" borderId="7" xfId="1" applyNumberFormat="1" applyFont="1" applyFill="1" applyBorder="1" applyAlignment="1">
      <alignment horizontal="right"/>
    </xf>
    <xf numFmtId="166" fontId="2" fillId="24" borderId="0" xfId="1" applyNumberFormat="1" applyFont="1" applyFill="1" applyBorder="1"/>
    <xf numFmtId="166" fontId="2" fillId="11" borderId="14" xfId="1" applyNumberFormat="1" applyFont="1" applyFill="1" applyBorder="1"/>
    <xf numFmtId="166" fontId="2" fillId="22" borderId="1" xfId="1" applyNumberFormat="1" applyFont="1" applyFill="1" applyBorder="1" applyAlignment="1">
      <alignment horizontal="right"/>
    </xf>
    <xf numFmtId="166" fontId="7" fillId="6" borderId="15" xfId="1" applyNumberFormat="1" applyFont="1" applyFill="1" applyBorder="1" applyAlignment="1">
      <alignment horizontal="right"/>
    </xf>
    <xf numFmtId="166" fontId="7" fillId="2" borderId="15" xfId="1" applyNumberFormat="1" applyFont="1" applyFill="1" applyBorder="1" applyAlignment="1">
      <alignment horizontal="right" shrinkToFit="1"/>
    </xf>
    <xf numFmtId="166" fontId="2" fillId="0" borderId="1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right" vertical="center" wrapText="1"/>
    </xf>
    <xf numFmtId="166" fontId="3" fillId="0" borderId="4" xfId="0" applyNumberFormat="1" applyFont="1" applyBorder="1" applyAlignment="1">
      <alignment horizontal="right" vertical="center" wrapText="1"/>
    </xf>
    <xf numFmtId="166" fontId="7" fillId="0" borderId="7" xfId="0" applyNumberFormat="1" applyFont="1" applyBorder="1" applyAlignment="1">
      <alignment horizontal="right" vertical="center" wrapText="1"/>
    </xf>
    <xf numFmtId="166" fontId="2" fillId="0" borderId="7" xfId="0" applyNumberFormat="1" applyFont="1" applyBorder="1" applyAlignment="1">
      <alignment horizontal="right" vertical="center" wrapText="1"/>
    </xf>
    <xf numFmtId="166" fontId="3" fillId="0" borderId="14" xfId="0" applyNumberFormat="1" applyFont="1" applyBorder="1" applyAlignment="1">
      <alignment horizontal="right" vertical="center" wrapText="1"/>
    </xf>
    <xf numFmtId="166" fontId="2" fillId="2" borderId="15" xfId="0" applyNumberFormat="1" applyFont="1" applyFill="1" applyBorder="1" applyAlignment="1">
      <alignment horizontal="right" vertical="center"/>
    </xf>
    <xf numFmtId="166" fontId="2" fillId="0" borderId="4" xfId="0" applyNumberFormat="1" applyFont="1" applyBorder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166" fontId="3" fillId="0" borderId="28" xfId="0" applyNumberFormat="1" applyFont="1" applyBorder="1" applyAlignment="1">
      <alignment horizontal="right" vertical="center"/>
    </xf>
    <xf numFmtId="166" fontId="3" fillId="0" borderId="25" xfId="0" applyNumberFormat="1" applyFont="1" applyBorder="1" applyAlignment="1">
      <alignment horizontal="right" vertical="center"/>
    </xf>
    <xf numFmtId="166" fontId="2" fillId="0" borderId="28" xfId="0" applyNumberFormat="1" applyFont="1" applyBorder="1" applyAlignment="1">
      <alignment horizontal="right" vertical="center"/>
    </xf>
    <xf numFmtId="166" fontId="2" fillId="0" borderId="25" xfId="0" applyNumberFormat="1" applyFont="1" applyBorder="1" applyAlignment="1">
      <alignment horizontal="right" vertical="center"/>
    </xf>
    <xf numFmtId="166" fontId="2" fillId="2" borderId="16" xfId="1" applyNumberFormat="1" applyFont="1" applyFill="1" applyBorder="1" applyAlignment="1">
      <alignment horizontal="right"/>
    </xf>
    <xf numFmtId="166" fontId="2" fillId="2" borderId="15" xfId="1" applyNumberFormat="1" applyFont="1" applyFill="1" applyBorder="1" applyAlignment="1">
      <alignment horizontal="right"/>
    </xf>
    <xf numFmtId="166" fontId="7" fillId="11" borderId="16" xfId="1" applyNumberFormat="1" applyFont="1" applyFill="1" applyBorder="1" applyAlignment="1">
      <alignment horizontal="right"/>
    </xf>
    <xf numFmtId="166" fontId="7" fillId="2" borderId="16" xfId="1" applyNumberFormat="1" applyFont="1" applyFill="1" applyBorder="1" applyAlignment="1">
      <alignment horizontal="right"/>
    </xf>
    <xf numFmtId="166" fontId="8" fillId="30" borderId="37" xfId="0" applyNumberFormat="1" applyFont="1" applyFill="1" applyBorder="1" applyAlignment="1">
      <alignment vertical="center" shrinkToFit="1"/>
    </xf>
    <xf numFmtId="166" fontId="8" fillId="30" borderId="15" xfId="0" applyNumberFormat="1" applyFont="1" applyFill="1" applyBorder="1" applyAlignment="1">
      <alignment vertical="center"/>
    </xf>
    <xf numFmtId="166" fontId="8" fillId="0" borderId="55" xfId="0" applyNumberFormat="1" applyFont="1" applyBorder="1" applyAlignment="1">
      <alignment vertical="center" shrinkToFit="1"/>
    </xf>
    <xf numFmtId="166" fontId="8" fillId="30" borderId="8" xfId="0" applyNumberFormat="1" applyFont="1" applyFill="1" applyBorder="1" applyAlignment="1">
      <alignment vertical="center"/>
    </xf>
    <xf numFmtId="166" fontId="8" fillId="30" borderId="1" xfId="0" applyNumberFormat="1" applyFont="1" applyFill="1" applyBorder="1" applyAlignment="1">
      <alignment vertical="center"/>
    </xf>
    <xf numFmtId="166" fontId="8" fillId="0" borderId="30" xfId="0" applyNumberFormat="1" applyFont="1" applyBorder="1" applyAlignment="1">
      <alignment vertical="center" shrinkToFit="1"/>
    </xf>
    <xf numFmtId="166" fontId="8" fillId="30" borderId="7" xfId="0" applyNumberFormat="1" applyFont="1" applyFill="1" applyBorder="1" applyAlignment="1">
      <alignment vertical="center"/>
    </xf>
    <xf numFmtId="166" fontId="8" fillId="30" borderId="8" xfId="0" applyNumberFormat="1" applyFont="1" applyFill="1" applyBorder="1" applyAlignment="1">
      <alignment vertical="center" shrinkToFit="1"/>
    </xf>
    <xf numFmtId="166" fontId="8" fillId="30" borderId="28" xfId="0" applyNumberFormat="1" applyFont="1" applyFill="1" applyBorder="1" applyAlignment="1">
      <alignment vertical="center"/>
    </xf>
    <xf numFmtId="166" fontId="8" fillId="34" borderId="7" xfId="0" applyNumberFormat="1" applyFont="1" applyFill="1" applyBorder="1" applyAlignment="1">
      <alignment vertical="center"/>
    </xf>
    <xf numFmtId="166" fontId="8" fillId="18" borderId="15" xfId="0" applyNumberFormat="1" applyFont="1" applyFill="1" applyBorder="1" applyAlignment="1">
      <alignment vertical="center"/>
    </xf>
    <xf numFmtId="166" fontId="8" fillId="18" borderId="37" xfId="0" applyNumberFormat="1" applyFont="1" applyFill="1" applyBorder="1" applyAlignment="1">
      <alignment vertical="center"/>
    </xf>
    <xf numFmtId="166" fontId="8" fillId="18" borderId="38" xfId="0" applyNumberFormat="1" applyFont="1" applyFill="1" applyBorder="1" applyAlignment="1">
      <alignment vertical="center"/>
    </xf>
    <xf numFmtId="166" fontId="8" fillId="18" borderId="44" xfId="0" applyNumberFormat="1" applyFont="1" applyFill="1" applyBorder="1" applyAlignment="1">
      <alignment vertical="center"/>
    </xf>
    <xf numFmtId="166" fontId="8" fillId="9" borderId="7" xfId="0" applyNumberFormat="1" applyFont="1" applyFill="1" applyBorder="1" applyAlignment="1">
      <alignment vertical="center" shrinkToFit="1"/>
    </xf>
    <xf numFmtId="166" fontId="8" fillId="30" borderId="44" xfId="0" applyNumberFormat="1" applyFont="1" applyFill="1" applyBorder="1" applyAlignment="1">
      <alignment vertical="center"/>
    </xf>
    <xf numFmtId="166" fontId="12" fillId="0" borderId="1" xfId="0" applyNumberFormat="1" applyFont="1" applyBorder="1" applyAlignment="1">
      <alignment vertical="center" wrapText="1"/>
    </xf>
    <xf numFmtId="166" fontId="8" fillId="0" borderId="0" xfId="0" applyNumberFormat="1" applyFont="1" applyBorder="1" applyAlignment="1">
      <alignment vertical="center" shrinkToFit="1"/>
    </xf>
    <xf numFmtId="166" fontId="11" fillId="0" borderId="28" xfId="0" applyNumberFormat="1" applyFont="1" applyBorder="1" applyAlignment="1">
      <alignment horizontal="left" vertical="center" wrapText="1"/>
    </xf>
    <xf numFmtId="166" fontId="8" fillId="9" borderId="17" xfId="0" applyNumberFormat="1" applyFont="1" applyFill="1" applyBorder="1" applyAlignment="1">
      <alignment vertical="center" shrinkToFit="1"/>
    </xf>
    <xf numFmtId="166" fontId="8" fillId="9" borderId="50" xfId="0" applyNumberFormat="1" applyFont="1" applyFill="1" applyBorder="1" applyAlignment="1">
      <alignment vertical="center" shrinkToFit="1"/>
    </xf>
    <xf numFmtId="166" fontId="8" fillId="9" borderId="18" xfId="0" applyNumberFormat="1" applyFont="1" applyFill="1" applyBorder="1" applyAlignment="1">
      <alignment vertical="center" shrinkToFit="1"/>
    </xf>
    <xf numFmtId="166" fontId="8" fillId="0" borderId="1" xfId="0" applyNumberFormat="1" applyFont="1" applyBorder="1" applyAlignment="1">
      <alignment vertical="center"/>
    </xf>
    <xf numFmtId="166" fontId="10" fillId="0" borderId="30" xfId="0" applyNumberFormat="1" applyFont="1" applyBorder="1" applyAlignment="1">
      <alignment vertical="center" wrapText="1"/>
    </xf>
    <xf numFmtId="166" fontId="8" fillId="0" borderId="7" xfId="0" applyNumberFormat="1" applyFont="1" applyBorder="1" applyAlignment="1">
      <alignment vertical="center"/>
    </xf>
    <xf numFmtId="166" fontId="10" fillId="0" borderId="41" xfId="0" applyNumberFormat="1" applyFont="1" applyBorder="1" applyAlignment="1">
      <alignment vertical="center" wrapText="1"/>
    </xf>
    <xf numFmtId="166" fontId="8" fillId="0" borderId="26" xfId="0" applyNumberFormat="1" applyFont="1" applyBorder="1" applyAlignment="1">
      <alignment vertical="center" shrinkToFit="1"/>
    </xf>
    <xf numFmtId="166" fontId="8" fillId="0" borderId="56" xfId="0" applyNumberFormat="1" applyFont="1" applyBorder="1" applyAlignment="1">
      <alignment vertical="center" shrinkToFit="1"/>
    </xf>
    <xf numFmtId="166" fontId="8" fillId="0" borderId="27" xfId="0" applyNumberFormat="1" applyFont="1" applyBorder="1" applyAlignment="1">
      <alignment vertical="center" shrinkToFit="1"/>
    </xf>
    <xf numFmtId="166" fontId="8" fillId="9" borderId="25" xfId="0" applyNumberFormat="1" applyFont="1" applyFill="1" applyBorder="1" applyAlignment="1">
      <alignment vertical="center" shrinkToFit="1"/>
    </xf>
    <xf numFmtId="166" fontId="8" fillId="0" borderId="42" xfId="0" applyNumberFormat="1" applyFont="1" applyBorder="1" applyAlignment="1">
      <alignment vertical="center" shrinkToFit="1"/>
    </xf>
    <xf numFmtId="166" fontId="8" fillId="0" borderId="25" xfId="0" applyNumberFormat="1" applyFont="1" applyBorder="1" applyAlignment="1">
      <alignment vertical="center"/>
    </xf>
    <xf numFmtId="166" fontId="8" fillId="0" borderId="10" xfId="0" applyNumberFormat="1" applyFont="1" applyBorder="1" applyAlignment="1">
      <alignment vertical="center" shrinkToFit="1"/>
    </xf>
    <xf numFmtId="166" fontId="8" fillId="0" borderId="24" xfId="0" applyNumberFormat="1" applyFont="1" applyBorder="1" applyAlignment="1">
      <alignment vertical="center" shrinkToFit="1"/>
    </xf>
    <xf numFmtId="166" fontId="8" fillId="0" borderId="23" xfId="0" applyNumberFormat="1" applyFont="1" applyBorder="1" applyAlignment="1">
      <alignment vertical="center" shrinkToFit="1"/>
    </xf>
    <xf numFmtId="165" fontId="8" fillId="0" borderId="30" xfId="0" applyNumberFormat="1" applyFont="1" applyBorder="1" applyAlignment="1">
      <alignment vertical="center" shrinkToFit="1"/>
    </xf>
    <xf numFmtId="166" fontId="8" fillId="9" borderId="55" xfId="0" applyNumberFormat="1" applyFont="1" applyFill="1" applyBorder="1" applyAlignment="1">
      <alignment vertical="center" shrinkToFit="1"/>
    </xf>
    <xf numFmtId="165" fontId="10" fillId="0" borderId="45" xfId="0" applyNumberFormat="1" applyFont="1" applyFill="1" applyBorder="1" applyAlignment="1">
      <alignment shrinkToFit="1"/>
    </xf>
    <xf numFmtId="165" fontId="10" fillId="0" borderId="8" xfId="0" applyNumberFormat="1" applyFont="1" applyFill="1" applyBorder="1" applyAlignment="1">
      <alignment shrinkToFit="1"/>
    </xf>
    <xf numFmtId="165" fontId="12" fillId="0" borderId="42" xfId="0" applyNumberFormat="1" applyFont="1" applyFill="1" applyBorder="1" applyAlignment="1">
      <alignment shrinkToFit="1"/>
    </xf>
    <xf numFmtId="165" fontId="12" fillId="0" borderId="23" xfId="0" applyNumberFormat="1" applyFont="1" applyFill="1" applyBorder="1" applyAlignment="1">
      <alignment shrinkToFit="1"/>
    </xf>
    <xf numFmtId="165" fontId="12" fillId="0" borderId="56" xfId="0" applyNumberFormat="1" applyFont="1" applyFill="1" applyBorder="1" applyAlignment="1">
      <alignment shrinkToFit="1"/>
    </xf>
    <xf numFmtId="165" fontId="12" fillId="0" borderId="24" xfId="0" applyNumberFormat="1" applyFont="1" applyFill="1" applyBorder="1" applyAlignment="1">
      <alignment shrinkToFit="1"/>
    </xf>
    <xf numFmtId="165" fontId="12" fillId="0" borderId="21" xfId="0" applyNumberFormat="1" applyFont="1" applyFill="1" applyBorder="1" applyAlignment="1">
      <alignment shrinkToFit="1"/>
    </xf>
    <xf numFmtId="164" fontId="10" fillId="0" borderId="18" xfId="0" applyNumberFormat="1" applyFont="1" applyFill="1" applyBorder="1" applyAlignment="1">
      <alignment shrinkToFit="1"/>
    </xf>
    <xf numFmtId="165" fontId="10" fillId="0" borderId="58" xfId="0" applyNumberFormat="1" applyFont="1" applyFill="1" applyBorder="1" applyAlignment="1">
      <alignment shrinkToFit="1"/>
    </xf>
    <xf numFmtId="165" fontId="10" fillId="0" borderId="6" xfId="0" applyNumberFormat="1" applyFont="1" applyFill="1" applyBorder="1" applyAlignment="1">
      <alignment shrinkToFit="1"/>
    </xf>
    <xf numFmtId="164" fontId="10" fillId="0" borderId="55" xfId="0" applyNumberFormat="1" applyFont="1" applyFill="1" applyBorder="1" applyAlignment="1">
      <alignment shrinkToFit="1"/>
    </xf>
    <xf numFmtId="164" fontId="11" fillId="0" borderId="2" xfId="0" applyNumberFormat="1" applyFont="1" applyBorder="1" applyAlignment="1">
      <alignment shrinkToFit="1"/>
    </xf>
    <xf numFmtId="164" fontId="11" fillId="0" borderId="37" xfId="0" applyNumberFormat="1" applyFont="1" applyFill="1" applyBorder="1" applyAlignment="1">
      <alignment shrinkToFit="1"/>
    </xf>
    <xf numFmtId="164" fontId="11" fillId="0" borderId="66" xfId="0" applyNumberFormat="1" applyFont="1" applyBorder="1" applyAlignment="1">
      <alignment shrinkToFit="1"/>
    </xf>
    <xf numFmtId="164" fontId="10" fillId="7" borderId="31" xfId="0" applyNumberFormat="1" applyFont="1" applyFill="1" applyBorder="1" applyAlignment="1">
      <alignment shrinkToFit="1"/>
    </xf>
    <xf numFmtId="164" fontId="11" fillId="0" borderId="31" xfId="0" applyNumberFormat="1" applyFont="1" applyBorder="1" applyAlignment="1">
      <alignment shrinkToFit="1"/>
    </xf>
    <xf numFmtId="2" fontId="11" fillId="0" borderId="48" xfId="0" applyNumberFormat="1" applyFont="1" applyBorder="1" applyAlignment="1">
      <alignment horizontal="center"/>
    </xf>
    <xf numFmtId="165" fontId="12" fillId="0" borderId="31" xfId="0" applyNumberFormat="1" applyFont="1" applyBorder="1"/>
    <xf numFmtId="1" fontId="12" fillId="0" borderId="58" xfId="0" applyNumberFormat="1" applyFont="1" applyFill="1" applyBorder="1"/>
    <xf numFmtId="165" fontId="12" fillId="16" borderId="48" xfId="0" applyNumberFormat="1" applyFont="1" applyFill="1" applyBorder="1"/>
    <xf numFmtId="165" fontId="12" fillId="16" borderId="31" xfId="0" applyNumberFormat="1" applyFont="1" applyFill="1" applyBorder="1"/>
    <xf numFmtId="165" fontId="11" fillId="0" borderId="0" xfId="0" applyNumberFormat="1" applyFont="1" applyBorder="1" applyAlignment="1">
      <alignment horizontal="center"/>
    </xf>
    <xf numFmtId="165" fontId="10" fillId="0" borderId="60" xfId="0" applyNumberFormat="1" applyFont="1" applyBorder="1"/>
    <xf numFmtId="0" fontId="11" fillId="0" borderId="43" xfId="0" applyFont="1" applyBorder="1"/>
    <xf numFmtId="165" fontId="11" fillId="0" borderId="0" xfId="0" applyNumberFormat="1" applyFont="1" applyFill="1" applyBorder="1" applyAlignment="1">
      <alignment shrinkToFit="1"/>
    </xf>
    <xf numFmtId="165" fontId="11" fillId="0" borderId="75" xfId="0" applyNumberFormat="1" applyFont="1" applyBorder="1"/>
    <xf numFmtId="165" fontId="11" fillId="0" borderId="77" xfId="0" applyNumberFormat="1" applyFont="1" applyBorder="1"/>
    <xf numFmtId="165" fontId="11" fillId="0" borderId="61" xfId="0" applyNumberFormat="1" applyFont="1" applyBorder="1"/>
    <xf numFmtId="165" fontId="11" fillId="0" borderId="60" xfId="0" applyNumberFormat="1" applyFont="1" applyBorder="1"/>
    <xf numFmtId="164" fontId="10" fillId="0" borderId="4" xfId="0" applyNumberFormat="1" applyFont="1" applyBorder="1" applyAlignment="1">
      <alignment shrinkToFit="1"/>
    </xf>
    <xf numFmtId="164" fontId="10" fillId="0" borderId="25" xfId="0" applyNumberFormat="1" applyFont="1" applyBorder="1" applyAlignment="1">
      <alignment shrinkToFit="1"/>
    </xf>
    <xf numFmtId="166" fontId="4" fillId="0" borderId="10" xfId="0" applyNumberFormat="1" applyFont="1" applyFill="1" applyBorder="1" applyAlignment="1">
      <alignment horizontal="right"/>
    </xf>
    <xf numFmtId="166" fontId="42" fillId="0" borderId="1" xfId="1" applyNumberFormat="1" applyFont="1" applyBorder="1" applyAlignment="1">
      <alignment horizontal="left"/>
    </xf>
    <xf numFmtId="1" fontId="43" fillId="0" borderId="48" xfId="0" applyNumberFormat="1" applyFont="1" applyFill="1" applyBorder="1"/>
    <xf numFmtId="165" fontId="44" fillId="0" borderId="48" xfId="0" applyNumberFormat="1" applyFont="1" applyFill="1" applyBorder="1" applyAlignment="1">
      <alignment horizontal="left" vertical="center"/>
    </xf>
    <xf numFmtId="1" fontId="48" fillId="0" borderId="48" xfId="0" applyNumberFormat="1" applyFont="1" applyFill="1" applyBorder="1" applyAlignment="1">
      <alignment horizontal="left" vertical="center"/>
    </xf>
    <xf numFmtId="2" fontId="11" fillId="0" borderId="76" xfId="0" applyNumberFormat="1" applyFont="1" applyBorder="1" applyAlignment="1">
      <alignment horizontal="center"/>
    </xf>
    <xf numFmtId="3" fontId="10" fillId="0" borderId="18" xfId="0" applyNumberFormat="1" applyFont="1" applyBorder="1" applyAlignment="1">
      <alignment shrinkToFit="1"/>
    </xf>
    <xf numFmtId="3" fontId="10" fillId="0" borderId="19" xfId="0" applyNumberFormat="1" applyFont="1" applyBorder="1" applyAlignment="1">
      <alignment shrinkToFit="1"/>
    </xf>
    <xf numFmtId="0" fontId="11" fillId="0" borderId="57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165" fontId="8" fillId="0" borderId="18" xfId="0" applyNumberFormat="1" applyFont="1" applyBorder="1" applyAlignment="1">
      <alignment vertical="center" shrinkToFit="1"/>
    </xf>
    <xf numFmtId="165" fontId="8" fillId="0" borderId="19" xfId="0" applyNumberFormat="1" applyFont="1" applyBorder="1" applyAlignment="1">
      <alignment vertical="center" shrinkToFit="1"/>
    </xf>
    <xf numFmtId="165" fontId="8" fillId="0" borderId="10" xfId="0" applyNumberFormat="1" applyFont="1" applyBorder="1" applyAlignment="1">
      <alignment vertical="center" shrinkToFit="1"/>
    </xf>
    <xf numFmtId="1" fontId="8" fillId="0" borderId="10" xfId="0" applyNumberFormat="1" applyFont="1" applyBorder="1" applyAlignment="1">
      <alignment vertical="center" shrinkToFit="1"/>
    </xf>
    <xf numFmtId="1" fontId="8" fillId="0" borderId="10" xfId="0" applyNumberFormat="1" applyFont="1" applyFill="1" applyBorder="1" applyAlignment="1">
      <alignment vertical="center" shrinkToFit="1"/>
    </xf>
    <xf numFmtId="165" fontId="8" fillId="0" borderId="10" xfId="0" applyNumberFormat="1" applyFont="1" applyFill="1" applyBorder="1" applyAlignment="1">
      <alignment vertical="center" shrinkToFit="1"/>
    </xf>
    <xf numFmtId="2" fontId="8" fillId="0" borderId="13" xfId="0" applyNumberFormat="1" applyFont="1" applyBorder="1" applyAlignment="1">
      <alignment vertical="center" shrinkToFit="1"/>
    </xf>
    <xf numFmtId="165" fontId="9" fillId="8" borderId="17" xfId="0" applyNumberFormat="1" applyFont="1" applyFill="1" applyBorder="1" applyAlignment="1">
      <alignment vertical="center" shrinkToFit="1"/>
    </xf>
    <xf numFmtId="165" fontId="8" fillId="0" borderId="6" xfId="0" applyNumberFormat="1" applyFont="1" applyFill="1" applyBorder="1" applyAlignment="1">
      <alignment vertical="center" shrinkToFit="1"/>
    </xf>
    <xf numFmtId="165" fontId="8" fillId="5" borderId="13" xfId="0" applyNumberFormat="1" applyFont="1" applyFill="1" applyBorder="1" applyAlignment="1">
      <alignment vertical="center" shrinkToFit="1"/>
    </xf>
    <xf numFmtId="165" fontId="8" fillId="4" borderId="17" xfId="0" applyNumberFormat="1" applyFont="1" applyFill="1" applyBorder="1" applyAlignment="1">
      <alignment vertical="center" shrinkToFit="1"/>
    </xf>
    <xf numFmtId="165" fontId="8" fillId="4" borderId="64" xfId="0" applyNumberFormat="1" applyFont="1" applyFill="1" applyBorder="1" applyAlignment="1">
      <alignment vertical="center" shrinkToFit="1"/>
    </xf>
    <xf numFmtId="166" fontId="8" fillId="0" borderId="6" xfId="0" applyNumberFormat="1" applyFont="1" applyBorder="1" applyAlignment="1">
      <alignment vertical="center" shrinkToFit="1"/>
    </xf>
    <xf numFmtId="166" fontId="8" fillId="0" borderId="13" xfId="0" applyNumberFormat="1" applyFont="1" applyBorder="1" applyAlignment="1">
      <alignment vertical="center" shrinkToFit="1"/>
    </xf>
    <xf numFmtId="166" fontId="49" fillId="17" borderId="16" xfId="0" applyNumberFormat="1" applyFont="1" applyFill="1" applyBorder="1" applyAlignment="1">
      <alignment vertical="center" wrapText="1"/>
    </xf>
    <xf numFmtId="166" fontId="11" fillId="0" borderId="32" xfId="0" applyNumberFormat="1" applyFont="1" applyBorder="1" applyAlignment="1">
      <alignment horizontal="left" vertical="center" wrapText="1" indent="2"/>
    </xf>
    <xf numFmtId="166" fontId="49" fillId="0" borderId="32" xfId="0" applyNumberFormat="1" applyFont="1" applyBorder="1" applyAlignment="1">
      <alignment horizontal="left" vertical="center" wrapText="1" indent="2"/>
    </xf>
    <xf numFmtId="166" fontId="49" fillId="17" borderId="16" xfId="0" applyNumberFormat="1" applyFont="1" applyFill="1" applyBorder="1" applyAlignment="1">
      <alignment horizontal="left" vertical="center" wrapText="1" indent="1"/>
    </xf>
    <xf numFmtId="166" fontId="50" fillId="17" borderId="15" xfId="0" applyNumberFormat="1" applyFont="1" applyFill="1" applyBorder="1" applyAlignment="1">
      <alignment vertical="center" shrinkToFit="1"/>
    </xf>
    <xf numFmtId="166" fontId="50" fillId="17" borderId="68" xfId="0" applyNumberFormat="1" applyFont="1" applyFill="1" applyBorder="1" applyAlignment="1">
      <alignment vertical="center" shrinkToFit="1"/>
    </xf>
    <xf numFmtId="166" fontId="50" fillId="17" borderId="16" xfId="0" applyNumberFormat="1" applyFont="1" applyFill="1" applyBorder="1" applyAlignment="1">
      <alignment vertical="center" shrinkToFit="1"/>
    </xf>
    <xf numFmtId="166" fontId="50" fillId="17" borderId="66" xfId="0" applyNumberFormat="1" applyFont="1" applyFill="1" applyBorder="1" applyAlignment="1">
      <alignment vertical="center" shrinkToFit="1"/>
    </xf>
    <xf numFmtId="166" fontId="50" fillId="17" borderId="3" xfId="0" applyNumberFormat="1" applyFont="1" applyFill="1" applyBorder="1" applyAlignment="1">
      <alignment vertical="center" shrinkToFit="1"/>
    </xf>
    <xf numFmtId="166" fontId="50" fillId="17" borderId="37" xfId="0" applyNumberFormat="1" applyFont="1" applyFill="1" applyBorder="1" applyAlignment="1">
      <alignment vertical="center" shrinkToFit="1"/>
    </xf>
    <xf numFmtId="166" fontId="50" fillId="17" borderId="2" xfId="0" applyNumberFormat="1" applyFont="1" applyFill="1" applyBorder="1" applyAlignment="1">
      <alignment vertical="center" shrinkToFit="1"/>
    </xf>
    <xf numFmtId="166" fontId="50" fillId="17" borderId="17" xfId="0" applyNumberFormat="1" applyFont="1" applyFill="1" applyBorder="1" applyAlignment="1">
      <alignment vertical="center" shrinkToFit="1"/>
    </xf>
    <xf numFmtId="166" fontId="50" fillId="17" borderId="67" xfId="0" applyNumberFormat="1" applyFont="1" applyFill="1" applyBorder="1" applyAlignment="1">
      <alignment vertical="center" shrinkToFit="1"/>
    </xf>
    <xf numFmtId="166" fontId="50" fillId="0" borderId="0" xfId="0" applyNumberFormat="1" applyFont="1" applyFill="1" applyBorder="1" applyAlignment="1">
      <alignment vertical="center" shrinkToFit="1"/>
    </xf>
    <xf numFmtId="166" fontId="50" fillId="17" borderId="11" xfId="0" applyNumberFormat="1" applyFont="1" applyFill="1" applyBorder="1" applyAlignment="1">
      <alignment vertical="center" shrinkToFit="1"/>
    </xf>
    <xf numFmtId="166" fontId="50" fillId="17" borderId="48" xfId="0" applyNumberFormat="1" applyFont="1" applyFill="1" applyBorder="1" applyAlignment="1">
      <alignment vertical="center" shrinkToFit="1"/>
    </xf>
    <xf numFmtId="166" fontId="50" fillId="17" borderId="20" xfId="0" applyNumberFormat="1" applyFont="1" applyFill="1" applyBorder="1" applyAlignment="1">
      <alignment vertical="center" shrinkToFit="1"/>
    </xf>
    <xf numFmtId="166" fontId="50" fillId="17" borderId="0" xfId="0" applyNumberFormat="1" applyFont="1" applyFill="1" applyAlignment="1">
      <alignment vertical="center"/>
    </xf>
    <xf numFmtId="166" fontId="49" fillId="17" borderId="32" xfId="0" applyNumberFormat="1" applyFont="1" applyFill="1" applyBorder="1" applyAlignment="1">
      <alignment horizontal="left" vertical="center" wrapText="1" indent="1"/>
    </xf>
    <xf numFmtId="166" fontId="50" fillId="17" borderId="7" xfId="0" applyNumberFormat="1" applyFont="1" applyFill="1" applyBorder="1" applyAlignment="1">
      <alignment vertical="center" shrinkToFit="1"/>
    </xf>
    <xf numFmtId="166" fontId="50" fillId="17" borderId="8" xfId="0" applyNumberFormat="1" applyFont="1" applyFill="1" applyBorder="1" applyAlignment="1">
      <alignment vertical="center" shrinkToFit="1"/>
    </xf>
    <xf numFmtId="166" fontId="50" fillId="17" borderId="10" xfId="0" applyNumberFormat="1" applyFont="1" applyFill="1" applyBorder="1" applyAlignment="1">
      <alignment vertical="center" shrinkToFit="1"/>
    </xf>
    <xf numFmtId="166" fontId="50" fillId="17" borderId="31" xfId="0" applyNumberFormat="1" applyFont="1" applyFill="1" applyBorder="1" applyAlignment="1">
      <alignment vertical="center" shrinkToFit="1"/>
    </xf>
    <xf numFmtId="166" fontId="51" fillId="17" borderId="15" xfId="0" applyNumberFormat="1" applyFont="1" applyFill="1" applyBorder="1" applyAlignment="1">
      <alignment vertical="center" shrinkToFit="1"/>
    </xf>
    <xf numFmtId="166" fontId="50" fillId="0" borderId="55" xfId="0" applyNumberFormat="1" applyFont="1" applyBorder="1" applyAlignment="1">
      <alignment vertical="center" shrinkToFit="1"/>
    </xf>
    <xf numFmtId="166" fontId="51" fillId="0" borderId="74" xfId="0" applyNumberFormat="1" applyFont="1" applyBorder="1" applyAlignment="1">
      <alignment vertical="center" shrinkToFit="1"/>
    </xf>
    <xf numFmtId="166" fontId="51" fillId="0" borderId="20" xfId="0" applyNumberFormat="1" applyFont="1" applyBorder="1" applyAlignment="1">
      <alignment vertical="center" shrinkToFit="1"/>
    </xf>
    <xf numFmtId="165" fontId="10" fillId="35" borderId="0" xfId="0" applyNumberFormat="1" applyFont="1" applyFill="1"/>
    <xf numFmtId="165" fontId="10" fillId="17" borderId="0" xfId="0" applyNumberFormat="1" applyFont="1" applyFill="1"/>
    <xf numFmtId="165" fontId="10" fillId="17" borderId="48" xfId="0" applyNumberFormat="1" applyFont="1" applyFill="1" applyBorder="1"/>
    <xf numFmtId="165" fontId="11" fillId="35" borderId="48" xfId="0" applyNumberFormat="1" applyFont="1" applyFill="1" applyBorder="1"/>
    <xf numFmtId="165" fontId="11" fillId="17" borderId="48" xfId="0" applyNumberFormat="1" applyFont="1" applyFill="1" applyBorder="1"/>
    <xf numFmtId="165" fontId="10" fillId="35" borderId="48" xfId="0" applyNumberFormat="1" applyFont="1" applyFill="1" applyBorder="1"/>
    <xf numFmtId="2" fontId="10" fillId="35" borderId="48" xfId="0" applyNumberFormat="1" applyFont="1" applyFill="1" applyBorder="1" applyAlignment="1">
      <alignment wrapText="1"/>
    </xf>
    <xf numFmtId="2" fontId="10" fillId="17" borderId="48" xfId="0" applyNumberFormat="1" applyFont="1" applyFill="1" applyBorder="1" applyAlignment="1">
      <alignment wrapText="1"/>
    </xf>
    <xf numFmtId="2" fontId="11" fillId="35" borderId="48" xfId="0" applyNumberFormat="1" applyFont="1" applyFill="1" applyBorder="1"/>
    <xf numFmtId="2" fontId="11" fillId="17" borderId="48" xfId="0" applyNumberFormat="1" applyFont="1" applyFill="1" applyBorder="1"/>
    <xf numFmtId="165" fontId="11" fillId="35" borderId="48" xfId="0" applyNumberFormat="1" applyFont="1" applyFill="1" applyBorder="1" applyAlignment="1">
      <alignment wrapText="1"/>
    </xf>
    <xf numFmtId="165" fontId="11" fillId="17" borderId="48" xfId="0" applyNumberFormat="1" applyFont="1" applyFill="1" applyBorder="1" applyAlignment="1">
      <alignment wrapText="1"/>
    </xf>
    <xf numFmtId="165" fontId="10" fillId="35" borderId="48" xfId="0" applyNumberFormat="1" applyFont="1" applyFill="1" applyBorder="1" applyAlignment="1">
      <alignment horizontal="right" vertical="center"/>
    </xf>
    <xf numFmtId="165" fontId="10" fillId="17" borderId="48" xfId="0" applyNumberFormat="1" applyFont="1" applyFill="1" applyBorder="1" applyAlignment="1">
      <alignment wrapText="1"/>
    </xf>
    <xf numFmtId="165" fontId="10" fillId="17" borderId="58" xfId="0" applyNumberFormat="1" applyFont="1" applyFill="1" applyBorder="1"/>
    <xf numFmtId="165" fontId="11" fillId="35" borderId="66" xfId="0" applyNumberFormat="1" applyFont="1" applyFill="1" applyBorder="1"/>
    <xf numFmtId="165" fontId="11" fillId="17" borderId="66" xfId="0" applyNumberFormat="1" applyFont="1" applyFill="1" applyBorder="1"/>
    <xf numFmtId="165" fontId="10" fillId="17" borderId="48" xfId="0" applyNumberFormat="1" applyFont="1" applyFill="1" applyBorder="1" applyAlignment="1">
      <alignment horizontal="left" vertical="center"/>
    </xf>
    <xf numFmtId="165" fontId="12" fillId="17" borderId="48" xfId="0" applyNumberFormat="1" applyFont="1" applyFill="1" applyBorder="1" applyAlignment="1">
      <alignment horizontal="center" vertical="center" wrapText="1"/>
    </xf>
    <xf numFmtId="165" fontId="44" fillId="35" borderId="48" xfId="0" applyNumberFormat="1" applyFont="1" applyFill="1" applyBorder="1" applyAlignment="1">
      <alignment horizontal="right" vertical="center"/>
    </xf>
    <xf numFmtId="165" fontId="11" fillId="17" borderId="48" xfId="0" applyNumberFormat="1" applyFont="1" applyFill="1" applyBorder="1" applyAlignment="1">
      <alignment horizontal="right" vertical="center"/>
    </xf>
    <xf numFmtId="165" fontId="10" fillId="35" borderId="48" xfId="0" applyNumberFormat="1" applyFont="1" applyFill="1" applyBorder="1" applyAlignment="1">
      <alignment horizontal="left" vertical="center"/>
    </xf>
    <xf numFmtId="165" fontId="52" fillId="17" borderId="48" xfId="0" applyNumberFormat="1" applyFont="1" applyFill="1" applyBorder="1" applyAlignment="1">
      <alignment horizontal="left" vertical="center"/>
    </xf>
    <xf numFmtId="165" fontId="53" fillId="17" borderId="48" xfId="0" applyNumberFormat="1" applyFont="1" applyFill="1" applyBorder="1" applyAlignment="1">
      <alignment horizontal="center" vertical="center" wrapText="1"/>
    </xf>
    <xf numFmtId="166" fontId="45" fillId="0" borderId="48" xfId="0" applyNumberFormat="1" applyFont="1" applyBorder="1"/>
    <xf numFmtId="165" fontId="54" fillId="0" borderId="31" xfId="0" applyNumberFormat="1" applyFont="1" applyFill="1" applyBorder="1"/>
    <xf numFmtId="165" fontId="54" fillId="0" borderId="48" xfId="0" applyNumberFormat="1" applyFont="1" applyFill="1" applyBorder="1"/>
    <xf numFmtId="1" fontId="12" fillId="35" borderId="48" xfId="0" applyNumberFormat="1" applyFont="1" applyFill="1" applyBorder="1" applyAlignment="1">
      <alignment horizontal="left" vertical="center"/>
    </xf>
    <xf numFmtId="1" fontId="12" fillId="17" borderId="48" xfId="0" applyNumberFormat="1" applyFont="1" applyFill="1" applyBorder="1" applyAlignment="1">
      <alignment horizontal="left" vertical="center"/>
    </xf>
    <xf numFmtId="1" fontId="48" fillId="35" borderId="48" xfId="0" applyNumberFormat="1" applyFont="1" applyFill="1" applyBorder="1" applyAlignment="1">
      <alignment horizontal="left" vertical="center"/>
    </xf>
    <xf numFmtId="1" fontId="48" fillId="17" borderId="48" xfId="0" applyNumberFormat="1" applyFont="1" applyFill="1" applyBorder="1" applyAlignment="1">
      <alignment horizontal="left" vertical="center"/>
    </xf>
    <xf numFmtId="165" fontId="44" fillId="17" borderId="48" xfId="0" applyNumberFormat="1" applyFont="1" applyFill="1" applyBorder="1" applyAlignment="1">
      <alignment horizontal="left" vertical="center"/>
    </xf>
    <xf numFmtId="165" fontId="48" fillId="17" borderId="48" xfId="0" applyNumberFormat="1" applyFont="1" applyFill="1" applyBorder="1" applyAlignment="1">
      <alignment horizontal="center" vertical="center" wrapText="1"/>
    </xf>
    <xf numFmtId="165" fontId="11" fillId="35" borderId="48" xfId="0" applyNumberFormat="1" applyFont="1" applyFill="1" applyBorder="1" applyAlignment="1">
      <alignment horizontal="right" vertical="center"/>
    </xf>
    <xf numFmtId="165" fontId="11" fillId="17" borderId="48" xfId="0" applyNumberFormat="1" applyFont="1" applyFill="1" applyBorder="1" applyAlignment="1">
      <alignment horizontal="center" vertical="center" wrapText="1"/>
    </xf>
    <xf numFmtId="164" fontId="12" fillId="35" borderId="48" xfId="0" applyNumberFormat="1" applyFont="1" applyFill="1" applyBorder="1" applyAlignment="1">
      <alignment horizontal="center" vertical="center" wrapText="1"/>
    </xf>
    <xf numFmtId="164" fontId="12" fillId="17" borderId="48" xfId="0" applyNumberFormat="1" applyFont="1" applyFill="1" applyBorder="1" applyAlignment="1">
      <alignment horizontal="center" vertical="center" wrapText="1"/>
    </xf>
    <xf numFmtId="164" fontId="11" fillId="17" borderId="48" xfId="0" applyNumberFormat="1" applyFont="1" applyFill="1" applyBorder="1" applyAlignment="1">
      <alignment horizontal="center" vertical="center" wrapText="1"/>
    </xf>
    <xf numFmtId="1" fontId="12" fillId="35" borderId="48" xfId="0" applyNumberFormat="1" applyFont="1" applyFill="1" applyBorder="1" applyAlignment="1">
      <alignment horizontal="center" vertical="center" wrapText="1"/>
    </xf>
    <xf numFmtId="1" fontId="12" fillId="17" borderId="48" xfId="0" applyNumberFormat="1" applyFont="1" applyFill="1" applyBorder="1" applyAlignment="1">
      <alignment horizontal="center" vertical="center" wrapText="1"/>
    </xf>
    <xf numFmtId="165" fontId="12" fillId="35" borderId="48" xfId="0" applyNumberFormat="1" applyFont="1" applyFill="1" applyBorder="1" applyAlignment="1">
      <alignment horizontal="center" vertical="center" wrapText="1"/>
    </xf>
    <xf numFmtId="165" fontId="10" fillId="35" borderId="0" xfId="0" applyNumberFormat="1" applyFont="1" applyFill="1" applyBorder="1"/>
    <xf numFmtId="165" fontId="10" fillId="17" borderId="0" xfId="0" applyNumberFormat="1" applyFont="1" applyFill="1" applyBorder="1" applyAlignment="1">
      <alignment horizontal="center" vertical="center"/>
    </xf>
    <xf numFmtId="1" fontId="10" fillId="0" borderId="5" xfId="0" applyNumberFormat="1" applyFont="1" applyBorder="1" applyAlignment="1">
      <alignment shrinkToFit="1"/>
    </xf>
    <xf numFmtId="164" fontId="10" fillId="0" borderId="45" xfId="0" applyNumberFormat="1" applyFont="1" applyFill="1" applyBorder="1" applyAlignment="1">
      <alignment shrinkToFit="1"/>
    </xf>
    <xf numFmtId="165" fontId="11" fillId="0" borderId="37" xfId="0" applyNumberFormat="1" applyFont="1" applyFill="1" applyBorder="1" applyAlignment="1">
      <alignment shrinkToFit="1"/>
    </xf>
    <xf numFmtId="1" fontId="11" fillId="0" borderId="14" xfId="0" applyNumberFormat="1" applyFont="1" applyBorder="1" applyAlignment="1">
      <alignment shrinkToFit="1"/>
    </xf>
    <xf numFmtId="165" fontId="11" fillId="0" borderId="38" xfId="0" applyNumberFormat="1" applyFont="1" applyFill="1" applyBorder="1" applyAlignment="1">
      <alignment shrinkToFit="1"/>
    </xf>
    <xf numFmtId="165" fontId="11" fillId="0" borderId="62" xfId="0" applyNumberFormat="1" applyFont="1" applyBorder="1"/>
    <xf numFmtId="165" fontId="11" fillId="0" borderId="80" xfId="0" applyNumberFormat="1" applyFont="1" applyBorder="1"/>
    <xf numFmtId="165" fontId="11" fillId="0" borderId="63" xfId="0" applyNumberFormat="1" applyFont="1" applyBorder="1"/>
    <xf numFmtId="165" fontId="11" fillId="0" borderId="57" xfId="0" applyNumberFormat="1" applyFont="1" applyBorder="1"/>
    <xf numFmtId="4" fontId="10" fillId="0" borderId="31" xfId="0" applyNumberFormat="1" applyFont="1" applyBorder="1" applyAlignment="1">
      <alignment shrinkToFit="1"/>
    </xf>
    <xf numFmtId="2" fontId="12" fillId="0" borderId="48" xfId="0" applyNumberFormat="1" applyFont="1" applyBorder="1" applyAlignment="1">
      <alignment shrinkToFit="1"/>
    </xf>
    <xf numFmtId="4" fontId="12" fillId="0" borderId="48" xfId="0" applyNumberFormat="1" applyFont="1" applyBorder="1" applyAlignment="1">
      <alignment shrinkToFit="1"/>
    </xf>
    <xf numFmtId="2" fontId="11" fillId="0" borderId="31" xfId="0" applyNumberFormat="1" applyFont="1" applyBorder="1" applyAlignment="1">
      <alignment shrinkToFit="1"/>
    </xf>
    <xf numFmtId="4" fontId="11" fillId="0" borderId="31" xfId="0" applyNumberFormat="1" applyFont="1" applyBorder="1" applyAlignment="1">
      <alignment shrinkToFit="1"/>
    </xf>
    <xf numFmtId="1" fontId="48" fillId="0" borderId="48" xfId="0" applyNumberFormat="1" applyFont="1" applyFill="1" applyBorder="1"/>
    <xf numFmtId="1" fontId="48" fillId="0" borderId="81" xfId="3" applyNumberFormat="1" applyFont="1" applyFill="1" applyBorder="1"/>
    <xf numFmtId="4" fontId="12" fillId="0" borderId="31" xfId="0" applyNumberFormat="1" applyFont="1" applyBorder="1" applyAlignment="1"/>
    <xf numFmtId="169" fontId="12" fillId="0" borderId="31" xfId="0" applyNumberFormat="1" applyFont="1" applyBorder="1" applyAlignment="1"/>
    <xf numFmtId="1" fontId="12" fillId="13" borderId="48" xfId="0" applyNumberFormat="1" applyFont="1" applyFill="1" applyBorder="1"/>
    <xf numFmtId="164" fontId="11" fillId="0" borderId="31" xfId="0" applyNumberFormat="1" applyFont="1" applyBorder="1" applyAlignment="1"/>
    <xf numFmtId="4" fontId="11" fillId="0" borderId="31" xfId="0" applyNumberFormat="1" applyFont="1" applyBorder="1" applyAlignment="1"/>
    <xf numFmtId="169" fontId="11" fillId="0" borderId="31" xfId="0" applyNumberFormat="1" applyFont="1" applyBorder="1" applyAlignment="1"/>
    <xf numFmtId="1" fontId="12" fillId="13" borderId="58" xfId="0" applyNumberFormat="1" applyFont="1" applyFill="1" applyBorder="1"/>
    <xf numFmtId="4" fontId="13" fillId="0" borderId="31" xfId="0" applyNumberFormat="1" applyFont="1" applyBorder="1" applyAlignment="1"/>
    <xf numFmtId="169" fontId="13" fillId="0" borderId="31" xfId="0" applyNumberFormat="1" applyFont="1" applyBorder="1" applyAlignment="1"/>
    <xf numFmtId="165" fontId="11" fillId="36" borderId="31" xfId="0" applyNumberFormat="1" applyFont="1" applyFill="1" applyBorder="1" applyAlignment="1">
      <alignment horizontal="left"/>
    </xf>
    <xf numFmtId="165" fontId="11" fillId="36" borderId="9" xfId="0" applyNumberFormat="1" applyFont="1" applyFill="1" applyBorder="1" applyAlignment="1">
      <alignment horizontal="left"/>
    </xf>
    <xf numFmtId="1" fontId="12" fillId="36" borderId="48" xfId="0" applyNumberFormat="1" applyFont="1" applyFill="1" applyBorder="1"/>
    <xf numFmtId="165" fontId="12" fillId="36" borderId="31" xfId="0" applyNumberFormat="1" applyFont="1" applyFill="1" applyBorder="1" applyAlignment="1"/>
    <xf numFmtId="1" fontId="12" fillId="36" borderId="31" xfId="0" applyNumberFormat="1" applyFont="1" applyFill="1" applyBorder="1" applyAlignment="1"/>
    <xf numFmtId="1" fontId="12" fillId="36" borderId="31" xfId="0" applyNumberFormat="1" applyFont="1" applyFill="1" applyBorder="1"/>
    <xf numFmtId="1" fontId="11" fillId="36" borderId="48" xfId="0" applyNumberFormat="1" applyFont="1" applyFill="1" applyBorder="1" applyAlignment="1"/>
    <xf numFmtId="4" fontId="12" fillId="36" borderId="31" xfId="0" applyNumberFormat="1" applyFont="1" applyFill="1" applyBorder="1" applyAlignment="1"/>
    <xf numFmtId="169" fontId="12" fillId="36" borderId="31" xfId="0" applyNumberFormat="1" applyFont="1" applyFill="1" applyBorder="1" applyAlignment="1"/>
    <xf numFmtId="2" fontId="11" fillId="36" borderId="48" xfId="0" applyNumberFormat="1" applyFont="1" applyFill="1" applyBorder="1"/>
    <xf numFmtId="164" fontId="11" fillId="0" borderId="48" xfId="0" applyNumberFormat="1" applyFont="1" applyBorder="1" applyAlignment="1"/>
    <xf numFmtId="4" fontId="11" fillId="0" borderId="48" xfId="0" applyNumberFormat="1" applyFont="1" applyBorder="1" applyAlignment="1"/>
    <xf numFmtId="169" fontId="11" fillId="0" borderId="48" xfId="0" applyNumberFormat="1" applyFont="1" applyBorder="1" applyAlignment="1"/>
    <xf numFmtId="165" fontId="11" fillId="36" borderId="48" xfId="0" applyNumberFormat="1" applyFont="1" applyFill="1" applyBorder="1" applyAlignment="1">
      <alignment horizontal="left"/>
    </xf>
    <xf numFmtId="1" fontId="11" fillId="36" borderId="48" xfId="0" applyNumberFormat="1" applyFont="1" applyFill="1" applyBorder="1"/>
    <xf numFmtId="165" fontId="11" fillId="36" borderId="48" xfId="0" applyNumberFormat="1" applyFont="1" applyFill="1" applyBorder="1" applyAlignment="1"/>
    <xf numFmtId="2" fontId="11" fillId="36" borderId="48" xfId="0" applyNumberFormat="1" applyFont="1" applyFill="1" applyBorder="1" applyAlignment="1"/>
    <xf numFmtId="10" fontId="51" fillId="0" borderId="0" xfId="0" applyNumberFormat="1" applyFont="1" applyAlignment="1">
      <alignment vertical="center"/>
    </xf>
    <xf numFmtId="166" fontId="51" fillId="0" borderId="0" xfId="0" applyNumberFormat="1" applyFont="1" applyAlignment="1">
      <alignment vertical="center"/>
    </xf>
    <xf numFmtId="166" fontId="49" fillId="0" borderId="33" xfId="0" applyNumberFormat="1" applyFont="1" applyBorder="1" applyAlignment="1">
      <alignment horizontal="left" vertical="center" wrapText="1"/>
    </xf>
    <xf numFmtId="165" fontId="55" fillId="0" borderId="0" xfId="0" applyNumberFormat="1" applyFont="1" applyFill="1" applyBorder="1"/>
    <xf numFmtId="165" fontId="56" fillId="0" borderId="0" xfId="0" applyNumberFormat="1" applyFont="1" applyFill="1" applyBorder="1" applyAlignment="1">
      <alignment horizontal="center" vertical="center"/>
    </xf>
    <xf numFmtId="165" fontId="56" fillId="0" borderId="0" xfId="0" applyNumberFormat="1" applyFont="1" applyFill="1" applyBorder="1"/>
    <xf numFmtId="165" fontId="56" fillId="0" borderId="34" xfId="0" applyNumberFormat="1" applyFont="1" applyFill="1" applyBorder="1" applyAlignment="1">
      <alignment horizontal="center"/>
    </xf>
    <xf numFmtId="165" fontId="57" fillId="0" borderId="35" xfId="0" applyNumberFormat="1" applyFont="1" applyFill="1" applyBorder="1" applyAlignment="1">
      <alignment horizontal="center" vertical="center" wrapText="1"/>
    </xf>
    <xf numFmtId="165" fontId="57" fillId="0" borderId="46" xfId="0" applyNumberFormat="1" applyFont="1" applyFill="1" applyBorder="1" applyAlignment="1">
      <alignment horizontal="center" vertical="center" textRotation="90" wrapText="1"/>
    </xf>
    <xf numFmtId="165" fontId="57" fillId="0" borderId="47" xfId="0" applyNumberFormat="1" applyFont="1" applyFill="1" applyBorder="1" applyAlignment="1">
      <alignment horizontal="center" vertical="center" textRotation="90" wrapText="1"/>
    </xf>
    <xf numFmtId="165" fontId="56" fillId="0" borderId="0" xfId="0" applyNumberFormat="1" applyFont="1" applyFill="1"/>
    <xf numFmtId="165" fontId="55" fillId="0" borderId="43" xfId="0" applyNumberFormat="1" applyFont="1" applyFill="1" applyBorder="1"/>
    <xf numFmtId="165" fontId="55" fillId="0" borderId="39" xfId="0" applyNumberFormat="1" applyFont="1" applyFill="1" applyBorder="1" applyAlignment="1">
      <alignment horizontal="center" vertical="center" wrapText="1"/>
    </xf>
    <xf numFmtId="165" fontId="56" fillId="0" borderId="15" xfId="0" applyNumberFormat="1" applyFont="1" applyFill="1" applyBorder="1" applyAlignment="1">
      <alignment horizontal="left" vertical="center"/>
    </xf>
    <xf numFmtId="164" fontId="56" fillId="0" borderId="15" xfId="0" applyNumberFormat="1" applyFont="1" applyFill="1" applyBorder="1" applyAlignment="1">
      <alignment horizontal="left" vertical="center"/>
    </xf>
    <xf numFmtId="1" fontId="56" fillId="0" borderId="15" xfId="0" applyNumberFormat="1" applyFont="1" applyFill="1" applyBorder="1" applyAlignment="1">
      <alignment horizontal="left" vertical="center"/>
    </xf>
    <xf numFmtId="165" fontId="55" fillId="0" borderId="0" xfId="0" applyNumberFormat="1" applyFont="1" applyFill="1"/>
    <xf numFmtId="165" fontId="55" fillId="0" borderId="30" xfId="0" applyNumberFormat="1" applyFont="1" applyFill="1" applyBorder="1" applyAlignment="1">
      <alignment horizontal="center" vertical="center" wrapText="1"/>
    </xf>
    <xf numFmtId="165" fontId="56" fillId="0" borderId="1" xfId="0" applyNumberFormat="1" applyFont="1" applyFill="1" applyBorder="1" applyAlignment="1">
      <alignment horizontal="right" vertical="center"/>
    </xf>
    <xf numFmtId="165" fontId="56" fillId="0" borderId="38" xfId="0" applyNumberFormat="1" applyFont="1" applyFill="1" applyBorder="1" applyAlignment="1">
      <alignment horizontal="right" vertical="center"/>
    </xf>
    <xf numFmtId="165" fontId="55" fillId="0" borderId="31" xfId="0" applyNumberFormat="1" applyFont="1" applyFill="1" applyBorder="1"/>
    <xf numFmtId="165" fontId="55" fillId="0" borderId="41" xfId="0" applyNumberFormat="1" applyFont="1" applyFill="1" applyBorder="1" applyAlignment="1">
      <alignment horizontal="center" vertical="center" wrapText="1"/>
    </xf>
    <xf numFmtId="165" fontId="55" fillId="0" borderId="25" xfId="0" applyNumberFormat="1" applyFont="1" applyFill="1" applyBorder="1"/>
    <xf numFmtId="165" fontId="55" fillId="0" borderId="41" xfId="0" applyNumberFormat="1" applyFont="1" applyFill="1" applyBorder="1"/>
    <xf numFmtId="165" fontId="55" fillId="0" borderId="22" xfId="0" applyNumberFormat="1" applyFont="1" applyFill="1" applyBorder="1"/>
    <xf numFmtId="165" fontId="55" fillId="0" borderId="14" xfId="0" applyNumberFormat="1" applyFont="1" applyFill="1" applyBorder="1" applyAlignment="1">
      <alignment horizontal="center" vertical="center" wrapText="1"/>
    </xf>
    <xf numFmtId="165" fontId="55" fillId="0" borderId="1" xfId="0" applyNumberFormat="1" applyFont="1" applyFill="1" applyBorder="1" applyAlignment="1">
      <alignment horizontal="left" vertical="center" wrapText="1"/>
    </xf>
    <xf numFmtId="166" fontId="55" fillId="0" borderId="39" xfId="0" applyNumberFormat="1" applyFont="1" applyFill="1" applyBorder="1" applyAlignment="1">
      <alignment horizontal="right" vertical="center"/>
    </xf>
    <xf numFmtId="166" fontId="55" fillId="0" borderId="4" xfId="0" applyNumberFormat="1" applyFont="1" applyFill="1" applyBorder="1" applyAlignment="1">
      <alignment horizontal="right" vertical="center"/>
    </xf>
    <xf numFmtId="166" fontId="55" fillId="0" borderId="45" xfId="0" applyNumberFormat="1" applyFont="1" applyFill="1" applyBorder="1" applyAlignment="1">
      <alignment horizontal="right" vertical="center"/>
    </xf>
    <xf numFmtId="166" fontId="55" fillId="0" borderId="39" xfId="0" applyNumberFormat="1" applyFont="1" applyFill="1" applyBorder="1"/>
    <xf numFmtId="165" fontId="56" fillId="0" borderId="43" xfId="0" applyNumberFormat="1" applyFont="1" applyFill="1" applyBorder="1"/>
    <xf numFmtId="165" fontId="56" fillId="0" borderId="30" xfId="0" applyNumberFormat="1" applyFont="1" applyFill="1" applyBorder="1" applyAlignment="1">
      <alignment horizontal="left" vertical="center"/>
    </xf>
    <xf numFmtId="166" fontId="56" fillId="0" borderId="30" xfId="0" applyNumberFormat="1" applyFont="1" applyFill="1" applyBorder="1" applyAlignment="1">
      <alignment horizontal="right" vertical="center"/>
    </xf>
    <xf numFmtId="166" fontId="56" fillId="0" borderId="7" xfId="0" applyNumberFormat="1" applyFont="1" applyFill="1" applyBorder="1" applyAlignment="1">
      <alignment horizontal="right" vertical="center"/>
    </xf>
    <xf numFmtId="166" fontId="56" fillId="0" borderId="8" xfId="0" applyNumberFormat="1" applyFont="1" applyFill="1" applyBorder="1" applyAlignment="1">
      <alignment horizontal="right" vertical="center"/>
    </xf>
    <xf numFmtId="166" fontId="55" fillId="0" borderId="7" xfId="0" applyNumberFormat="1" applyFont="1" applyFill="1" applyBorder="1" applyAlignment="1">
      <alignment horizontal="right" vertical="center"/>
    </xf>
    <xf numFmtId="166" fontId="56" fillId="0" borderId="30" xfId="0" applyNumberFormat="1" applyFont="1" applyFill="1" applyBorder="1"/>
    <xf numFmtId="166" fontId="56" fillId="0" borderId="7" xfId="0" applyNumberFormat="1" applyFont="1" applyFill="1" applyBorder="1"/>
    <xf numFmtId="165" fontId="56" fillId="0" borderId="43" xfId="0" applyNumberFormat="1" applyFont="1" applyFill="1" applyBorder="1" applyAlignment="1">
      <alignment horizontal="left"/>
    </xf>
    <xf numFmtId="166" fontId="56" fillId="0" borderId="8" xfId="0" applyNumberFormat="1" applyFont="1" applyFill="1" applyBorder="1" applyAlignment="1">
      <alignment horizontal="left" vertical="center"/>
    </xf>
    <xf numFmtId="166" fontId="56" fillId="0" borderId="7" xfId="0" applyNumberFormat="1" applyFont="1" applyFill="1" applyBorder="1" applyAlignment="1">
      <alignment horizontal="left" vertical="center"/>
    </xf>
    <xf numFmtId="166" fontId="56" fillId="0" borderId="30" xfId="0" applyNumberFormat="1" applyFont="1" applyFill="1" applyBorder="1" applyAlignment="1">
      <alignment horizontal="left"/>
    </xf>
    <xf numFmtId="165" fontId="56" fillId="0" borderId="0" xfId="0" applyNumberFormat="1" applyFont="1" applyFill="1" applyAlignment="1">
      <alignment horizontal="left"/>
    </xf>
    <xf numFmtId="1" fontId="57" fillId="0" borderId="43" xfId="0" applyNumberFormat="1" applyFont="1" applyFill="1" applyBorder="1" applyAlignment="1">
      <alignment horizontal="left"/>
    </xf>
    <xf numFmtId="1" fontId="57" fillId="0" borderId="30" xfId="0" applyNumberFormat="1" applyFont="1" applyFill="1" applyBorder="1" applyAlignment="1">
      <alignment horizontal="left" vertical="center"/>
    </xf>
    <xf numFmtId="3" fontId="57" fillId="0" borderId="30" xfId="0" applyNumberFormat="1" applyFont="1" applyFill="1" applyBorder="1" applyAlignment="1">
      <alignment horizontal="left" vertical="center"/>
    </xf>
    <xf numFmtId="3" fontId="57" fillId="0" borderId="7" xfId="0" applyNumberFormat="1" applyFont="1" applyFill="1" applyBorder="1" applyAlignment="1">
      <alignment horizontal="left" vertical="center"/>
    </xf>
    <xf numFmtId="166" fontId="57" fillId="0" borderId="7" xfId="0" applyNumberFormat="1" applyFont="1" applyFill="1" applyBorder="1" applyAlignment="1">
      <alignment horizontal="left" vertical="center"/>
    </xf>
    <xf numFmtId="166" fontId="57" fillId="0" borderId="20" xfId="0" applyNumberFormat="1" applyFont="1" applyFill="1" applyBorder="1" applyAlignment="1">
      <alignment horizontal="left" vertical="center"/>
    </xf>
    <xf numFmtId="166" fontId="57" fillId="0" borderId="8" xfId="0" applyNumberFormat="1" applyFont="1" applyFill="1" applyBorder="1" applyAlignment="1">
      <alignment horizontal="left" vertical="center"/>
    </xf>
    <xf numFmtId="166" fontId="58" fillId="0" borderId="7" xfId="0" applyNumberFormat="1" applyFont="1" applyFill="1" applyBorder="1" applyAlignment="1">
      <alignment horizontal="left" vertical="center"/>
    </xf>
    <xf numFmtId="166" fontId="57" fillId="0" borderId="30" xfId="0" applyNumberFormat="1" applyFont="1" applyFill="1" applyBorder="1" applyAlignment="1">
      <alignment horizontal="left"/>
    </xf>
    <xf numFmtId="1" fontId="57" fillId="0" borderId="0" xfId="0" applyNumberFormat="1" applyFont="1" applyFill="1" applyAlignment="1">
      <alignment horizontal="left"/>
    </xf>
    <xf numFmtId="166" fontId="57" fillId="0" borderId="30" xfId="0" applyNumberFormat="1" applyFont="1" applyFill="1" applyBorder="1" applyAlignment="1">
      <alignment horizontal="left" vertical="center"/>
    </xf>
    <xf numFmtId="165" fontId="56" fillId="0" borderId="43" xfId="0" applyNumberFormat="1" applyFont="1" applyFill="1" applyBorder="1" applyAlignment="1">
      <alignment horizontal="right"/>
    </xf>
    <xf numFmtId="166" fontId="56" fillId="0" borderId="30" xfId="0" applyNumberFormat="1" applyFont="1" applyFill="1" applyBorder="1" applyAlignment="1">
      <alignment horizontal="right"/>
    </xf>
    <xf numFmtId="165" fontId="56" fillId="0" borderId="0" xfId="0" applyNumberFormat="1" applyFont="1" applyFill="1" applyAlignment="1">
      <alignment horizontal="right"/>
    </xf>
    <xf numFmtId="166" fontId="55" fillId="0" borderId="7" xfId="0" applyNumberFormat="1" applyFont="1" applyFill="1" applyBorder="1" applyAlignment="1">
      <alignment horizontal="right" vertical="center" shrinkToFit="1"/>
    </xf>
    <xf numFmtId="166" fontId="57" fillId="0" borderId="30" xfId="0" applyNumberFormat="1" applyFont="1" applyFill="1" applyBorder="1" applyAlignment="1">
      <alignment horizontal="right" vertical="center"/>
    </xf>
    <xf numFmtId="166" fontId="57" fillId="0" borderId="7" xfId="0" applyNumberFormat="1" applyFont="1" applyFill="1" applyBorder="1" applyAlignment="1">
      <alignment horizontal="right" vertical="center"/>
    </xf>
    <xf numFmtId="166" fontId="57" fillId="0" borderId="8" xfId="0" applyNumberFormat="1" applyFont="1" applyFill="1" applyBorder="1" applyAlignment="1">
      <alignment horizontal="right" vertical="center"/>
    </xf>
    <xf numFmtId="166" fontId="57" fillId="0" borderId="28" xfId="0" applyNumberFormat="1" applyFont="1" applyFill="1" applyBorder="1" applyAlignment="1">
      <alignment horizontal="right" vertical="center"/>
    </xf>
    <xf numFmtId="166" fontId="56" fillId="0" borderId="20" xfId="0" applyNumberFormat="1" applyFont="1" applyFill="1" applyBorder="1" applyAlignment="1">
      <alignment horizontal="left" vertical="center"/>
    </xf>
    <xf numFmtId="166" fontId="57" fillId="0" borderId="9" xfId="0" applyNumberFormat="1" applyFont="1" applyFill="1" applyBorder="1" applyAlignment="1">
      <alignment horizontal="left" vertical="center"/>
    </xf>
    <xf numFmtId="166" fontId="56" fillId="0" borderId="1" xfId="0" applyNumberFormat="1" applyFont="1" applyFill="1" applyBorder="1" applyAlignment="1">
      <alignment horizontal="right" vertical="center"/>
    </xf>
    <xf numFmtId="3" fontId="58" fillId="0" borderId="7" xfId="0" applyNumberFormat="1" applyFont="1" applyFill="1" applyBorder="1" applyAlignment="1">
      <alignment horizontal="left" vertical="center"/>
    </xf>
    <xf numFmtId="165" fontId="56" fillId="0" borderId="30" xfId="0" applyNumberFormat="1" applyFont="1" applyFill="1" applyBorder="1" applyAlignment="1">
      <alignment horizontal="left" vertical="center" wrapText="1"/>
    </xf>
    <xf numFmtId="165" fontId="55" fillId="0" borderId="30" xfId="0" applyNumberFormat="1" applyFont="1" applyFill="1" applyBorder="1"/>
    <xf numFmtId="166" fontId="55" fillId="0" borderId="30" xfId="0" applyNumberFormat="1" applyFont="1" applyFill="1" applyBorder="1"/>
    <xf numFmtId="166" fontId="55" fillId="0" borderId="7" xfId="0" applyNumberFormat="1" applyFont="1" applyFill="1" applyBorder="1"/>
    <xf numFmtId="164" fontId="55" fillId="0" borderId="0" xfId="0" applyNumberFormat="1" applyFont="1" applyFill="1"/>
    <xf numFmtId="166" fontId="55" fillId="0" borderId="30" xfId="0" applyNumberFormat="1" applyFont="1" applyFill="1" applyBorder="1" applyAlignment="1">
      <alignment horizontal="right" vertical="center"/>
    </xf>
    <xf numFmtId="166" fontId="55" fillId="0" borderId="9" xfId="0" applyNumberFormat="1" applyFont="1" applyFill="1" applyBorder="1" applyAlignment="1">
      <alignment horizontal="right" vertical="center"/>
    </xf>
    <xf numFmtId="166" fontId="55" fillId="0" borderId="8" xfId="0" applyNumberFormat="1" applyFont="1" applyFill="1" applyBorder="1" applyAlignment="1">
      <alignment horizontal="right" vertical="center"/>
    </xf>
    <xf numFmtId="166" fontId="55" fillId="0" borderId="20" xfId="0" applyNumberFormat="1" applyFont="1" applyFill="1" applyBorder="1" applyAlignment="1">
      <alignment horizontal="right" vertical="center"/>
    </xf>
    <xf numFmtId="165" fontId="56" fillId="0" borderId="30" xfId="0" applyNumberFormat="1" applyFont="1" applyFill="1" applyBorder="1" applyAlignment="1">
      <alignment wrapText="1"/>
    </xf>
    <xf numFmtId="166" fontId="55" fillId="0" borderId="31" xfId="0" applyNumberFormat="1" applyFont="1" applyFill="1" applyBorder="1" applyAlignment="1">
      <alignment horizontal="right" vertical="center"/>
    </xf>
    <xf numFmtId="165" fontId="56" fillId="0" borderId="33" xfId="0" applyNumberFormat="1" applyFont="1" applyFill="1" applyBorder="1" applyAlignment="1">
      <alignment wrapText="1"/>
    </xf>
    <xf numFmtId="165" fontId="56" fillId="0" borderId="33" xfId="0" applyNumberFormat="1" applyFont="1" applyFill="1" applyBorder="1"/>
    <xf numFmtId="165" fontId="56" fillId="0" borderId="30" xfId="0" applyNumberFormat="1" applyFont="1" applyFill="1" applyBorder="1"/>
    <xf numFmtId="166" fontId="56" fillId="0" borderId="28" xfId="0" applyNumberFormat="1" applyFont="1" applyFill="1" applyBorder="1" applyAlignment="1">
      <alignment horizontal="right" vertical="center"/>
    </xf>
    <xf numFmtId="166" fontId="56" fillId="0" borderId="25" xfId="0" applyNumberFormat="1" applyFont="1" applyFill="1" applyBorder="1" applyAlignment="1">
      <alignment horizontal="right" vertical="center"/>
    </xf>
    <xf numFmtId="166" fontId="55" fillId="0" borderId="33" xfId="0" applyNumberFormat="1" applyFont="1" applyFill="1" applyBorder="1"/>
    <xf numFmtId="165" fontId="55" fillId="0" borderId="16" xfId="0" applyNumberFormat="1" applyFont="1" applyFill="1" applyBorder="1"/>
    <xf numFmtId="166" fontId="55" fillId="0" borderId="34" xfId="0" applyNumberFormat="1" applyFont="1" applyFill="1" applyBorder="1" applyAlignment="1">
      <alignment horizontal="right" vertical="center"/>
    </xf>
    <xf numFmtId="166" fontId="55" fillId="0" borderId="16" xfId="0" applyNumberFormat="1" applyFont="1" applyFill="1" applyBorder="1" applyAlignment="1">
      <alignment horizontal="right" vertical="center"/>
    </xf>
    <xf numFmtId="166" fontId="55" fillId="0" borderId="37" xfId="0" applyNumberFormat="1" applyFont="1" applyFill="1" applyBorder="1" applyAlignment="1">
      <alignment horizontal="right" vertical="center"/>
    </xf>
    <xf numFmtId="166" fontId="55" fillId="0" borderId="35" xfId="0" applyNumberFormat="1" applyFont="1" applyFill="1" applyBorder="1" applyAlignment="1">
      <alignment horizontal="right" vertical="center"/>
    </xf>
    <xf numFmtId="166" fontId="55" fillId="0" borderId="15" xfId="0" applyNumberFormat="1" applyFont="1" applyFill="1" applyBorder="1" applyAlignment="1">
      <alignment horizontal="right" vertical="center"/>
    </xf>
    <xf numFmtId="166" fontId="55" fillId="0" borderId="3" xfId="0" applyNumberFormat="1" applyFont="1" applyFill="1" applyBorder="1" applyAlignment="1">
      <alignment horizontal="right" vertical="center"/>
    </xf>
    <xf numFmtId="166" fontId="55" fillId="3" borderId="15" xfId="0" applyNumberFormat="1" applyFont="1" applyFill="1" applyBorder="1" applyAlignment="1">
      <alignment horizontal="right" vertical="center" shrinkToFit="1"/>
    </xf>
    <xf numFmtId="166" fontId="55" fillId="0" borderId="16" xfId="0" applyNumberFormat="1" applyFont="1" applyFill="1" applyBorder="1"/>
    <xf numFmtId="165" fontId="56" fillId="0" borderId="4" xfId="0" applyNumberFormat="1" applyFont="1" applyFill="1" applyBorder="1"/>
    <xf numFmtId="165" fontId="56" fillId="0" borderId="39" xfId="0" applyNumberFormat="1" applyFont="1" applyFill="1" applyBorder="1"/>
    <xf numFmtId="166" fontId="56" fillId="0" borderId="39" xfId="0" applyNumberFormat="1" applyFont="1" applyFill="1" applyBorder="1"/>
    <xf numFmtId="166" fontId="56" fillId="0" borderId="4" xfId="0" applyNumberFormat="1" applyFont="1" applyFill="1" applyBorder="1"/>
    <xf numFmtId="166" fontId="56" fillId="0" borderId="45" xfId="0" applyNumberFormat="1" applyFont="1" applyFill="1" applyBorder="1"/>
    <xf numFmtId="166" fontId="56" fillId="0" borderId="50" xfId="0" applyNumberFormat="1" applyFont="1" applyFill="1" applyBorder="1"/>
    <xf numFmtId="166" fontId="55" fillId="3" borderId="39" xfId="0" applyNumberFormat="1" applyFont="1" applyFill="1" applyBorder="1" applyAlignment="1">
      <alignment shrinkToFit="1"/>
    </xf>
    <xf numFmtId="166" fontId="56" fillId="0" borderId="32" xfId="0" applyNumberFormat="1" applyFont="1" applyFill="1" applyBorder="1"/>
    <xf numFmtId="166" fontId="56" fillId="0" borderId="1" xfId="0" applyNumberFormat="1" applyFont="1" applyFill="1" applyBorder="1"/>
    <xf numFmtId="165" fontId="55" fillId="0" borderId="1" xfId="0" applyNumberFormat="1" applyFont="1" applyFill="1" applyBorder="1"/>
    <xf numFmtId="165" fontId="55" fillId="0" borderId="32" xfId="0" applyNumberFormat="1" applyFont="1" applyFill="1" applyBorder="1"/>
    <xf numFmtId="166" fontId="55" fillId="0" borderId="1" xfId="0" applyNumberFormat="1" applyFont="1" applyFill="1" applyBorder="1"/>
    <xf numFmtId="166" fontId="55" fillId="0" borderId="38" xfId="0" applyNumberFormat="1" applyFont="1" applyFill="1" applyBorder="1"/>
    <xf numFmtId="166" fontId="55" fillId="4" borderId="1" xfId="0" applyNumberFormat="1" applyFont="1" applyFill="1" applyBorder="1"/>
    <xf numFmtId="166" fontId="58" fillId="4" borderId="38" xfId="0" applyNumberFormat="1" applyFont="1" applyFill="1" applyBorder="1" applyAlignment="1">
      <alignment horizontal="right"/>
    </xf>
    <xf numFmtId="166" fontId="55" fillId="3" borderId="30" xfId="0" applyNumberFormat="1" applyFont="1" applyFill="1" applyBorder="1" applyAlignment="1">
      <alignment horizontal="right" vertical="center" shrinkToFit="1"/>
    </xf>
    <xf numFmtId="165" fontId="56" fillId="0" borderId="1" xfId="0" applyNumberFormat="1" applyFont="1" applyFill="1" applyBorder="1"/>
    <xf numFmtId="165" fontId="56" fillId="0" borderId="32" xfId="0" applyNumberFormat="1" applyFont="1" applyFill="1" applyBorder="1"/>
    <xf numFmtId="166" fontId="56" fillId="0" borderId="38" xfId="0" applyNumberFormat="1" applyFont="1" applyFill="1" applyBorder="1"/>
    <xf numFmtId="166" fontId="57" fillId="4" borderId="31" xfId="0" applyNumberFormat="1" applyFont="1" applyFill="1" applyBorder="1" applyAlignment="1">
      <alignment horizontal="right" vertical="center"/>
    </xf>
    <xf numFmtId="166" fontId="57" fillId="4" borderId="1" xfId="0" applyNumberFormat="1" applyFont="1" applyFill="1" applyBorder="1"/>
    <xf numFmtId="166" fontId="57" fillId="4" borderId="38" xfId="0" applyNumberFormat="1" applyFont="1" applyFill="1" applyBorder="1"/>
    <xf numFmtId="166" fontId="57" fillId="4" borderId="7" xfId="0" applyNumberFormat="1" applyFont="1" applyFill="1" applyBorder="1" applyAlignment="1">
      <alignment horizontal="right" vertical="center"/>
    </xf>
    <xf numFmtId="166" fontId="57" fillId="4" borderId="8" xfId="0" applyNumberFormat="1" applyFont="1" applyFill="1" applyBorder="1" applyAlignment="1">
      <alignment horizontal="right" vertical="center"/>
    </xf>
    <xf numFmtId="165" fontId="55" fillId="0" borderId="7" xfId="0" applyNumberFormat="1" applyFont="1" applyFill="1" applyBorder="1"/>
    <xf numFmtId="166" fontId="55" fillId="0" borderId="8" xfId="0" applyNumberFormat="1" applyFont="1" applyFill="1" applyBorder="1"/>
    <xf numFmtId="166" fontId="56" fillId="0" borderId="8" xfId="0" applyNumberFormat="1" applyFont="1" applyFill="1" applyBorder="1"/>
    <xf numFmtId="166" fontId="56" fillId="0" borderId="20" xfId="0" applyNumberFormat="1" applyFont="1" applyFill="1" applyBorder="1"/>
    <xf numFmtId="165" fontId="56" fillId="0" borderId="28" xfId="0" applyNumberFormat="1" applyFont="1" applyFill="1" applyBorder="1"/>
    <xf numFmtId="166" fontId="55" fillId="0" borderId="14" xfId="0" applyNumberFormat="1" applyFont="1" applyFill="1" applyBorder="1"/>
    <xf numFmtId="166" fontId="55" fillId="0" borderId="51" xfId="0" applyNumberFormat="1" applyFont="1" applyFill="1" applyBorder="1"/>
    <xf numFmtId="166" fontId="55" fillId="0" borderId="25" xfId="0" applyNumberFormat="1" applyFont="1" applyFill="1" applyBorder="1"/>
    <xf numFmtId="166" fontId="56" fillId="0" borderId="28" xfId="0" applyNumberFormat="1" applyFont="1" applyFill="1" applyBorder="1"/>
    <xf numFmtId="166" fontId="56" fillId="0" borderId="51" xfId="0" applyNumberFormat="1" applyFont="1" applyFill="1" applyBorder="1"/>
    <xf numFmtId="166" fontId="56" fillId="0" borderId="49" xfId="0" applyNumberFormat="1" applyFont="1" applyFill="1" applyBorder="1"/>
    <xf numFmtId="166" fontId="56" fillId="0" borderId="33" xfId="0" applyNumberFormat="1" applyFont="1" applyFill="1" applyBorder="1"/>
    <xf numFmtId="165" fontId="55" fillId="0" borderId="15" xfId="0" applyNumberFormat="1" applyFont="1" applyFill="1" applyBorder="1"/>
    <xf numFmtId="165" fontId="55" fillId="0" borderId="16" xfId="0" applyNumberFormat="1" applyFont="1" applyFill="1" applyBorder="1" applyAlignment="1">
      <alignment wrapText="1"/>
    </xf>
    <xf numFmtId="166" fontId="55" fillId="0" borderId="15" xfId="0" applyNumberFormat="1" applyFont="1" applyFill="1" applyBorder="1"/>
    <xf numFmtId="166" fontId="55" fillId="0" borderId="68" xfId="0" applyNumberFormat="1" applyFont="1" applyFill="1" applyBorder="1"/>
    <xf numFmtId="166" fontId="55" fillId="0" borderId="37" xfId="0" applyNumberFormat="1" applyFont="1" applyFill="1" applyBorder="1"/>
    <xf numFmtId="166" fontId="55" fillId="3" borderId="16" xfId="0" applyNumberFormat="1" applyFont="1" applyFill="1" applyBorder="1" applyAlignment="1">
      <alignment shrinkToFit="1"/>
    </xf>
    <xf numFmtId="165" fontId="56" fillId="0" borderId="32" xfId="0" applyNumberFormat="1" applyFont="1" applyFill="1" applyBorder="1" applyAlignment="1">
      <alignment wrapText="1"/>
    </xf>
    <xf numFmtId="166" fontId="55" fillId="0" borderId="32" xfId="0" applyNumberFormat="1" applyFont="1" applyFill="1" applyBorder="1"/>
    <xf numFmtId="166" fontId="57" fillId="4" borderId="1" xfId="0" applyNumberFormat="1" applyFont="1" applyFill="1" applyBorder="1" applyAlignment="1">
      <alignment horizontal="right" vertical="center"/>
    </xf>
    <xf numFmtId="166" fontId="56" fillId="0" borderId="52" xfId="0" applyNumberFormat="1" applyFont="1" applyFill="1" applyBorder="1"/>
    <xf numFmtId="166" fontId="55" fillId="3" borderId="32" xfId="0" applyNumberFormat="1" applyFont="1" applyFill="1" applyBorder="1" applyAlignment="1">
      <alignment horizontal="right" vertical="center" shrinkToFit="1"/>
    </xf>
    <xf numFmtId="165" fontId="56" fillId="0" borderId="7" xfId="0" applyNumberFormat="1" applyFont="1" applyFill="1" applyBorder="1"/>
    <xf numFmtId="166" fontId="56" fillId="0" borderId="25" xfId="0" applyNumberFormat="1" applyFont="1" applyFill="1" applyBorder="1"/>
    <xf numFmtId="165" fontId="55" fillId="0" borderId="35" xfId="0" applyNumberFormat="1" applyFont="1" applyFill="1" applyBorder="1"/>
    <xf numFmtId="165" fontId="55" fillId="3" borderId="34" xfId="0" applyNumberFormat="1" applyFont="1" applyFill="1" applyBorder="1" applyAlignment="1">
      <alignment wrapText="1"/>
    </xf>
    <xf numFmtId="166" fontId="55" fillId="3" borderId="34" xfId="0" applyNumberFormat="1" applyFont="1" applyFill="1" applyBorder="1"/>
    <xf numFmtId="166" fontId="55" fillId="3" borderId="15" xfId="0" applyNumberFormat="1" applyFont="1" applyFill="1" applyBorder="1"/>
    <xf numFmtId="166" fontId="55" fillId="3" borderId="53" xfId="0" applyNumberFormat="1" applyFont="1" applyFill="1" applyBorder="1"/>
    <xf numFmtId="166" fontId="55" fillId="3" borderId="44" xfId="0" applyNumberFormat="1" applyFont="1" applyFill="1" applyBorder="1"/>
    <xf numFmtId="166" fontId="55" fillId="3" borderId="35" xfId="0" applyNumberFormat="1" applyFont="1" applyFill="1" applyBorder="1"/>
    <xf numFmtId="166" fontId="55" fillId="3" borderId="36" xfId="0" applyNumberFormat="1" applyFont="1" applyFill="1" applyBorder="1"/>
    <xf numFmtId="166" fontId="55" fillId="3" borderId="34" xfId="0" applyNumberFormat="1" applyFont="1" applyFill="1" applyBorder="1" applyAlignment="1">
      <alignment shrinkToFit="1"/>
    </xf>
    <xf numFmtId="165" fontId="55" fillId="0" borderId="34" xfId="0" applyNumberFormat="1" applyFont="1" applyFill="1" applyBorder="1" applyAlignment="1">
      <alignment wrapText="1"/>
    </xf>
    <xf numFmtId="166" fontId="55" fillId="0" borderId="34" xfId="0" applyNumberFormat="1" applyFont="1" applyFill="1" applyBorder="1"/>
    <xf numFmtId="166" fontId="55" fillId="0" borderId="35" xfId="0" applyNumberFormat="1" applyFont="1" applyFill="1" applyBorder="1"/>
    <xf numFmtId="166" fontId="55" fillId="0" borderId="36" xfId="0" applyNumberFormat="1" applyFont="1" applyFill="1" applyBorder="1"/>
    <xf numFmtId="166" fontId="55" fillId="0" borderId="34" xfId="0" applyNumberFormat="1" applyFont="1" applyFill="1" applyBorder="1" applyAlignment="1">
      <alignment shrinkToFit="1"/>
    </xf>
    <xf numFmtId="166" fontId="55" fillId="0" borderId="43" xfId="0" applyNumberFormat="1" applyFont="1" applyFill="1" applyBorder="1"/>
    <xf numFmtId="166" fontId="55" fillId="0" borderId="44" xfId="0" applyNumberFormat="1" applyFont="1" applyFill="1" applyBorder="1"/>
    <xf numFmtId="4" fontId="55" fillId="0" borderId="15" xfId="0" applyNumberFormat="1" applyFont="1" applyFill="1" applyBorder="1"/>
    <xf numFmtId="166" fontId="55" fillId="0" borderId="3" xfId="0" applyNumberFormat="1" applyFont="1" applyFill="1" applyBorder="1"/>
    <xf numFmtId="166" fontId="57" fillId="4" borderId="15" xfId="0" applyNumberFormat="1" applyFont="1" applyFill="1" applyBorder="1" applyAlignment="1">
      <alignment horizontal="right" vertical="center"/>
    </xf>
    <xf numFmtId="166" fontId="56" fillId="0" borderId="15" xfId="0" applyNumberFormat="1" applyFont="1" applyFill="1" applyBorder="1"/>
    <xf numFmtId="166" fontId="56" fillId="0" borderId="16" xfId="0" applyNumberFormat="1" applyFont="1" applyFill="1" applyBorder="1"/>
    <xf numFmtId="165" fontId="56" fillId="0" borderId="15" xfId="0" applyNumberFormat="1" applyFont="1" applyFill="1" applyBorder="1"/>
    <xf numFmtId="165" fontId="55" fillId="0" borderId="34" xfId="0" applyNumberFormat="1" applyFont="1" applyFill="1" applyBorder="1"/>
    <xf numFmtId="166" fontId="56" fillId="0" borderId="34" xfId="0" applyNumberFormat="1" applyFont="1" applyFill="1" applyBorder="1"/>
    <xf numFmtId="166" fontId="56" fillId="0" borderId="36" xfId="0" applyNumberFormat="1" applyFont="1" applyFill="1" applyBorder="1"/>
    <xf numFmtId="166" fontId="56" fillId="0" borderId="35" xfId="0" applyNumberFormat="1" applyFont="1" applyFill="1" applyBorder="1"/>
    <xf numFmtId="166" fontId="57" fillId="0" borderId="35" xfId="0" applyNumberFormat="1" applyFont="1" applyFill="1" applyBorder="1"/>
    <xf numFmtId="166" fontId="57" fillId="0" borderId="54" xfId="0" applyNumberFormat="1" applyFont="1" applyFill="1" applyBorder="1"/>
    <xf numFmtId="166" fontId="56" fillId="0" borderId="22" xfId="0" applyNumberFormat="1" applyFont="1" applyFill="1" applyBorder="1"/>
    <xf numFmtId="166" fontId="56" fillId="0" borderId="14" xfId="0" applyNumberFormat="1" applyFont="1" applyFill="1" applyBorder="1"/>
    <xf numFmtId="165" fontId="55" fillId="5" borderId="0" xfId="0" applyNumberFormat="1" applyFont="1" applyFill="1"/>
    <xf numFmtId="165" fontId="55" fillId="4" borderId="16" xfId="0" applyNumberFormat="1" applyFont="1" applyFill="1" applyBorder="1"/>
    <xf numFmtId="166" fontId="55" fillId="4" borderId="16" xfId="0" applyNumberFormat="1" applyFont="1" applyFill="1" applyBorder="1"/>
    <xf numFmtId="166" fontId="55" fillId="4" borderId="37" xfId="0" applyNumberFormat="1" applyFont="1" applyFill="1" applyBorder="1"/>
    <xf numFmtId="166" fontId="55" fillId="4" borderId="15" xfId="0" applyNumberFormat="1" applyFont="1" applyFill="1" applyBorder="1"/>
    <xf numFmtId="166" fontId="58" fillId="4" borderId="37" xfId="0" applyNumberFormat="1" applyFont="1" applyFill="1" applyBorder="1"/>
    <xf numFmtId="166" fontId="58" fillId="4" borderId="15" xfId="0" applyNumberFormat="1" applyFont="1" applyFill="1" applyBorder="1"/>
    <xf numFmtId="166" fontId="55" fillId="0" borderId="22" xfId="0" applyNumberFormat="1" applyFont="1" applyFill="1" applyBorder="1"/>
    <xf numFmtId="165" fontId="55" fillId="0" borderId="0" xfId="0" applyNumberFormat="1" applyFont="1" applyFill="1" applyAlignment="1">
      <alignment shrinkToFit="1"/>
    </xf>
    <xf numFmtId="165" fontId="9" fillId="0" borderId="32" xfId="0" applyNumberFormat="1" applyFont="1" applyBorder="1" applyAlignment="1">
      <alignment horizontal="left" vertical="center" wrapText="1"/>
    </xf>
    <xf numFmtId="165" fontId="9" fillId="0" borderId="30" xfId="0" applyNumberFormat="1" applyFont="1" applyBorder="1" applyAlignment="1">
      <alignment horizontal="left" vertical="center" wrapText="1"/>
    </xf>
    <xf numFmtId="166" fontId="9" fillId="0" borderId="45" xfId="0" applyNumberFormat="1" applyFont="1" applyBorder="1" applyAlignment="1">
      <alignment horizontal="center" vertical="center" wrapText="1"/>
    </xf>
    <xf numFmtId="166" fontId="8" fillId="0" borderId="20" xfId="0" applyNumberFormat="1" applyFont="1" applyBorder="1"/>
    <xf numFmtId="1" fontId="8" fillId="0" borderId="20" xfId="0" applyNumberFormat="1" applyFont="1" applyBorder="1"/>
    <xf numFmtId="1" fontId="28" fillId="0" borderId="20" xfId="0" applyNumberFormat="1" applyFont="1" applyFill="1" applyBorder="1" applyAlignment="1">
      <alignment horizontal="left"/>
    </xf>
    <xf numFmtId="166" fontId="8" fillId="0" borderId="20" xfId="0" applyNumberFormat="1" applyFont="1" applyFill="1" applyBorder="1"/>
    <xf numFmtId="166" fontId="9" fillId="0" borderId="20" xfId="0" applyNumberFormat="1" applyFont="1" applyFill="1" applyBorder="1"/>
    <xf numFmtId="166" fontId="9" fillId="0" borderId="20" xfId="0" applyNumberFormat="1" applyFont="1" applyBorder="1"/>
    <xf numFmtId="166" fontId="9" fillId="2" borderId="3" xfId="0" applyNumberFormat="1" applyFont="1" applyFill="1" applyBorder="1"/>
    <xf numFmtId="166" fontId="8" fillId="0" borderId="45" xfId="0" applyNumberFormat="1" applyFont="1" applyBorder="1"/>
    <xf numFmtId="166" fontId="8" fillId="0" borderId="21" xfId="0" applyNumberFormat="1" applyFont="1" applyBorder="1"/>
    <xf numFmtId="166" fontId="9" fillId="0" borderId="38" xfId="0" applyNumberFormat="1" applyFont="1" applyBorder="1"/>
    <xf numFmtId="166" fontId="9" fillId="0" borderId="60" xfId="0" applyNumberFormat="1" applyFont="1" applyBorder="1"/>
    <xf numFmtId="2" fontId="8" fillId="0" borderId="21" xfId="0" applyNumberFormat="1" applyFont="1" applyBorder="1"/>
    <xf numFmtId="166" fontId="8" fillId="0" borderId="60" xfId="0" applyNumberFormat="1" applyFont="1" applyBorder="1"/>
    <xf numFmtId="166" fontId="9" fillId="0" borderId="74" xfId="0" applyNumberFormat="1" applyFont="1" applyBorder="1"/>
    <xf numFmtId="164" fontId="8" fillId="0" borderId="21" xfId="0" applyNumberFormat="1" applyFont="1" applyBorder="1"/>
    <xf numFmtId="166" fontId="9" fillId="0" borderId="1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3" fontId="9" fillId="0" borderId="32" xfId="0" applyNumberFormat="1" applyFont="1" applyBorder="1"/>
    <xf numFmtId="0" fontId="11" fillId="0" borderId="2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164" fontId="10" fillId="0" borderId="38" xfId="0" applyNumberFormat="1" applyFont="1" applyBorder="1" applyAlignment="1">
      <alignment shrinkToFit="1"/>
    </xf>
    <xf numFmtId="164" fontId="10" fillId="0" borderId="74" xfId="0" applyNumberFormat="1" applyFont="1" applyBorder="1" applyAlignment="1">
      <alignment shrinkToFit="1"/>
    </xf>
    <xf numFmtId="164" fontId="10" fillId="0" borderId="52" xfId="0" applyNumberFormat="1" applyFont="1" applyBorder="1" applyAlignment="1">
      <alignment shrinkToFit="1"/>
    </xf>
    <xf numFmtId="164" fontId="10" fillId="0" borderId="21" xfId="0" applyNumberFormat="1" applyFont="1" applyBorder="1" applyAlignment="1">
      <alignment shrinkToFit="1"/>
    </xf>
    <xf numFmtId="0" fontId="14" fillId="0" borderId="41" xfId="0" applyFont="1" applyBorder="1"/>
    <xf numFmtId="0" fontId="59" fillId="0" borderId="0" xfId="0" applyFont="1"/>
    <xf numFmtId="1" fontId="14" fillId="0" borderId="25" xfId="0" applyNumberFormat="1" applyFont="1" applyBorder="1" applyAlignment="1">
      <alignment shrinkToFit="1"/>
    </xf>
    <xf numFmtId="165" fontId="14" fillId="0" borderId="42" xfId="0" applyNumberFormat="1" applyFont="1" applyFill="1" applyBorder="1" applyAlignment="1">
      <alignment shrinkToFit="1"/>
    </xf>
    <xf numFmtId="165" fontId="14" fillId="0" borderId="23" xfId="0" applyNumberFormat="1" applyFont="1" applyFill="1" applyBorder="1" applyAlignment="1">
      <alignment shrinkToFit="1"/>
    </xf>
    <xf numFmtId="165" fontId="14" fillId="0" borderId="56" xfId="0" applyNumberFormat="1" applyFont="1" applyFill="1" applyBorder="1" applyAlignment="1">
      <alignment shrinkToFit="1"/>
    </xf>
    <xf numFmtId="165" fontId="14" fillId="0" borderId="24" xfId="0" applyNumberFormat="1" applyFont="1" applyFill="1" applyBorder="1" applyAlignment="1">
      <alignment shrinkToFit="1"/>
    </xf>
    <xf numFmtId="165" fontId="14" fillId="0" borderId="21" xfId="0" applyNumberFormat="1" applyFont="1" applyFill="1" applyBorder="1" applyAlignment="1">
      <alignment shrinkToFit="1"/>
    </xf>
    <xf numFmtId="0" fontId="14" fillId="0" borderId="0" xfId="0" applyFont="1"/>
    <xf numFmtId="165" fontId="11" fillId="0" borderId="31" xfId="0" applyNumberFormat="1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165" fontId="10" fillId="0" borderId="31" xfId="0" applyNumberFormat="1" applyFont="1" applyBorder="1" applyAlignment="1">
      <alignment horizontal="center"/>
    </xf>
    <xf numFmtId="164" fontId="10" fillId="0" borderId="31" xfId="0" applyNumberFormat="1" applyFont="1" applyBorder="1" applyAlignment="1"/>
    <xf numFmtId="1" fontId="10" fillId="0" borderId="29" xfId="0" applyNumberFormat="1" applyFont="1" applyBorder="1"/>
    <xf numFmtId="1" fontId="10" fillId="0" borderId="14" xfId="0" applyNumberFormat="1" applyFont="1" applyBorder="1"/>
    <xf numFmtId="169" fontId="10" fillId="0" borderId="0" xfId="0" applyNumberFormat="1" applyFont="1"/>
    <xf numFmtId="169" fontId="11" fillId="0" borderId="0" xfId="0" applyNumberFormat="1" applyFont="1"/>
    <xf numFmtId="169" fontId="11" fillId="0" borderId="61" xfId="0" applyNumberFormat="1" applyFont="1" applyBorder="1" applyAlignment="1">
      <alignment horizontal="center"/>
    </xf>
    <xf numFmtId="169" fontId="10" fillId="0" borderId="58" xfId="0" applyNumberFormat="1" applyFont="1" applyBorder="1" applyAlignment="1">
      <alignment wrapText="1"/>
    </xf>
    <xf numFmtId="169" fontId="11" fillId="0" borderId="31" xfId="0" applyNumberFormat="1" applyFont="1" applyBorder="1" applyAlignment="1">
      <alignment shrinkToFit="1"/>
    </xf>
    <xf numFmtId="169" fontId="12" fillId="0" borderId="48" xfId="0" applyNumberFormat="1" applyFont="1" applyBorder="1"/>
    <xf numFmtId="169" fontId="10" fillId="0" borderId="31" xfId="0" applyNumberFormat="1" applyFont="1" applyBorder="1" applyAlignment="1">
      <alignment horizontal="center"/>
    </xf>
    <xf numFmtId="169" fontId="10" fillId="0" borderId="31" xfId="0" applyNumberFormat="1" applyFont="1" applyBorder="1" applyAlignment="1"/>
    <xf numFmtId="169" fontId="11" fillId="16" borderId="48" xfId="0" applyNumberFormat="1" applyFont="1" applyFill="1" applyBorder="1" applyAlignment="1"/>
    <xf numFmtId="169" fontId="11" fillId="0" borderId="0" xfId="0" applyNumberFormat="1" applyFont="1" applyBorder="1" applyAlignment="1"/>
    <xf numFmtId="169" fontId="10" fillId="0" borderId="0" xfId="0" applyNumberFormat="1" applyFont="1" applyBorder="1"/>
    <xf numFmtId="166" fontId="8" fillId="0" borderId="74" xfId="0" applyNumberFormat="1" applyFont="1" applyBorder="1" applyAlignment="1">
      <alignment vertical="center"/>
    </xf>
    <xf numFmtId="166" fontId="8" fillId="0" borderId="20" xfId="0" applyNumberFormat="1" applyFont="1" applyBorder="1" applyAlignment="1">
      <alignment vertical="center"/>
    </xf>
    <xf numFmtId="166" fontId="8" fillId="0" borderId="21" xfId="0" applyNumberFormat="1" applyFont="1" applyBorder="1" applyAlignment="1">
      <alignment vertical="center"/>
    </xf>
    <xf numFmtId="165" fontId="12" fillId="0" borderId="48" xfId="0" applyNumberFormat="1" applyFont="1" applyFill="1" applyBorder="1"/>
    <xf numFmtId="165" fontId="12" fillId="0" borderId="31" xfId="0" applyNumberFormat="1" applyFont="1" applyFill="1" applyBorder="1"/>
    <xf numFmtId="165" fontId="11" fillId="0" borderId="48" xfId="0" applyNumberFormat="1" applyFont="1" applyFill="1" applyBorder="1" applyAlignment="1"/>
    <xf numFmtId="165" fontId="12" fillId="0" borderId="31" xfId="0" applyNumberFormat="1" applyFont="1" applyFill="1" applyBorder="1" applyAlignment="1"/>
    <xf numFmtId="2" fontId="11" fillId="0" borderId="48" xfId="0" applyNumberFormat="1" applyFont="1" applyFill="1" applyBorder="1" applyAlignment="1"/>
    <xf numFmtId="1" fontId="11" fillId="0" borderId="48" xfId="0" applyNumberFormat="1" applyFont="1" applyFill="1" applyBorder="1"/>
    <xf numFmtId="165" fontId="23" fillId="0" borderId="35" xfId="0" applyNumberFormat="1" applyFont="1" applyFill="1" applyBorder="1" applyAlignment="1">
      <alignment horizontal="center" vertical="center" textRotation="90" wrapText="1"/>
    </xf>
    <xf numFmtId="165" fontId="23" fillId="0" borderId="44" xfId="0" applyNumberFormat="1" applyFont="1" applyFill="1" applyBorder="1" applyAlignment="1">
      <alignment horizontal="center" vertical="center" textRotation="90" wrapText="1"/>
    </xf>
    <xf numFmtId="165" fontId="23" fillId="0" borderId="14" xfId="0" applyNumberFormat="1" applyFont="1" applyFill="1" applyBorder="1" applyAlignment="1">
      <alignment horizontal="center" vertical="center" textRotation="90" wrapText="1"/>
    </xf>
    <xf numFmtId="165" fontId="55" fillId="0" borderId="16" xfId="0" applyNumberFormat="1" applyFont="1" applyFill="1" applyBorder="1" applyAlignment="1">
      <alignment horizontal="center" vertical="center" wrapText="1"/>
    </xf>
    <xf numFmtId="165" fontId="55" fillId="0" borderId="14" xfId="0" applyNumberFormat="1" applyFont="1" applyFill="1" applyBorder="1"/>
    <xf numFmtId="165" fontId="55" fillId="0" borderId="34" xfId="0" applyNumberFormat="1" applyFont="1" applyFill="1" applyBorder="1" applyAlignment="1">
      <alignment horizontal="center" vertical="center" wrapText="1"/>
    </xf>
    <xf numFmtId="165" fontId="55" fillId="0" borderId="22" xfId="0" applyNumberFormat="1" applyFont="1" applyFill="1" applyBorder="1" applyAlignment="1">
      <alignment horizontal="center" vertical="center" wrapText="1"/>
    </xf>
    <xf numFmtId="165" fontId="56" fillId="0" borderId="35" xfId="0" applyNumberFormat="1" applyFont="1" applyFill="1" applyBorder="1" applyAlignment="1">
      <alignment horizontal="center" vertical="center"/>
    </xf>
    <xf numFmtId="165" fontId="56" fillId="0" borderId="15" xfId="0" applyNumberFormat="1" applyFont="1" applyFill="1" applyBorder="1" applyAlignment="1">
      <alignment horizontal="center" vertical="center"/>
    </xf>
    <xf numFmtId="165" fontId="56" fillId="0" borderId="37" xfId="0" applyNumberFormat="1" applyFont="1" applyFill="1" applyBorder="1" applyAlignment="1">
      <alignment horizontal="center" vertical="center"/>
    </xf>
    <xf numFmtId="165" fontId="56" fillId="0" borderId="15" xfId="0" applyNumberFormat="1" applyFont="1" applyFill="1" applyBorder="1" applyAlignment="1">
      <alignment horizontal="center"/>
    </xf>
    <xf numFmtId="0" fontId="60" fillId="0" borderId="48" xfId="0" applyFont="1" applyBorder="1" applyAlignment="1">
      <alignment vertical="center" wrapText="1"/>
    </xf>
    <xf numFmtId="0" fontId="60" fillId="0" borderId="48" xfId="0" applyFont="1" applyBorder="1" applyAlignment="1">
      <alignment horizontal="center" vertical="center" wrapText="1"/>
    </xf>
    <xf numFmtId="3" fontId="60" fillId="0" borderId="48" xfId="0" applyNumberFormat="1" applyFont="1" applyFill="1" applyBorder="1" applyAlignment="1">
      <alignment horizontal="center" vertical="center" wrapText="1"/>
    </xf>
    <xf numFmtId="166" fontId="11" fillId="0" borderId="33" xfId="0" applyNumberFormat="1" applyFont="1" applyBorder="1" applyAlignment="1">
      <alignment horizontal="left" vertical="center" wrapText="1"/>
    </xf>
    <xf numFmtId="166" fontId="9" fillId="0" borderId="32" xfId="0" applyNumberFormat="1" applyFont="1" applyFill="1" applyBorder="1" applyAlignment="1">
      <alignment vertical="center" shrinkToFit="1"/>
    </xf>
    <xf numFmtId="166" fontId="9" fillId="13" borderId="32" xfId="0" applyNumberFormat="1" applyFont="1" applyFill="1" applyBorder="1" applyAlignment="1">
      <alignment vertical="center" shrinkToFit="1"/>
    </xf>
    <xf numFmtId="166" fontId="9" fillId="13" borderId="30" xfId="0" applyNumberFormat="1" applyFont="1" applyFill="1" applyBorder="1" applyAlignment="1">
      <alignment vertical="center" shrinkToFit="1"/>
    </xf>
    <xf numFmtId="166" fontId="9" fillId="13" borderId="22" xfId="0" applyNumberFormat="1" applyFont="1" applyFill="1" applyBorder="1" applyAlignment="1">
      <alignment vertical="center" shrinkToFit="1"/>
    </xf>
    <xf numFmtId="166" fontId="8" fillId="9" borderId="38" xfId="0" applyNumberFormat="1" applyFont="1" applyFill="1" applyBorder="1" applyAlignment="1">
      <alignment vertical="center" shrinkToFit="1"/>
    </xf>
    <xf numFmtId="166" fontId="8" fillId="9" borderId="58" xfId="0" applyNumberFormat="1" applyFont="1" applyFill="1" applyBorder="1" applyAlignment="1">
      <alignment vertical="center" shrinkToFit="1"/>
    </xf>
    <xf numFmtId="166" fontId="8" fillId="9" borderId="80" xfId="0" applyNumberFormat="1" applyFont="1" applyFill="1" applyBorder="1" applyAlignment="1">
      <alignment vertical="center" shrinkToFit="1"/>
    </xf>
    <xf numFmtId="166" fontId="24" fillId="4" borderId="16" xfId="0" applyNumberFormat="1" applyFont="1" applyFill="1" applyBorder="1" applyAlignment="1">
      <alignment horizontal="left" vertical="center" wrapText="1"/>
    </xf>
    <xf numFmtId="166" fontId="8" fillId="4" borderId="37" xfId="0" applyNumberFormat="1" applyFont="1" applyFill="1" applyBorder="1" applyAlignment="1">
      <alignment vertical="center" shrinkToFit="1"/>
    </xf>
    <xf numFmtId="166" fontId="8" fillId="4" borderId="15" xfId="0" applyNumberFormat="1" applyFont="1" applyFill="1" applyBorder="1" applyAlignment="1">
      <alignment vertical="center" shrinkToFit="1"/>
    </xf>
    <xf numFmtId="166" fontId="8" fillId="4" borderId="17" xfId="0" applyNumberFormat="1" applyFont="1" applyFill="1" applyBorder="1" applyAlignment="1">
      <alignment vertical="center" shrinkToFit="1"/>
    </xf>
    <xf numFmtId="166" fontId="51" fillId="0" borderId="7" xfId="0" applyNumberFormat="1" applyFont="1" applyBorder="1" applyAlignment="1">
      <alignment vertical="center" shrinkToFit="1"/>
    </xf>
    <xf numFmtId="166" fontId="51" fillId="17" borderId="16" xfId="0" applyNumberFormat="1" applyFont="1" applyFill="1" applyBorder="1" applyAlignment="1">
      <alignment vertical="center" shrinkToFit="1"/>
    </xf>
    <xf numFmtId="166" fontId="8" fillId="0" borderId="41" xfId="0" applyNumberFormat="1" applyFont="1" applyBorder="1" applyAlignment="1">
      <alignment vertical="center" shrinkToFit="1"/>
    </xf>
    <xf numFmtId="166" fontId="9" fillId="0" borderId="32" xfId="0" applyNumberFormat="1" applyFont="1" applyBorder="1" applyAlignment="1">
      <alignment vertical="center" shrinkToFit="1"/>
    </xf>
    <xf numFmtId="166" fontId="8" fillId="0" borderId="49" xfId="0" applyNumberFormat="1" applyFont="1" applyFill="1" applyBorder="1" applyAlignment="1">
      <alignment vertical="center" shrinkToFit="1"/>
    </xf>
    <xf numFmtId="166" fontId="8" fillId="0" borderId="59" xfId="0" applyNumberFormat="1" applyFont="1" applyFill="1" applyBorder="1" applyAlignment="1">
      <alignment vertical="center" shrinkToFit="1"/>
    </xf>
    <xf numFmtId="166" fontId="8" fillId="0" borderId="59" xfId="0" applyNumberFormat="1" applyFont="1" applyBorder="1" applyAlignment="1">
      <alignment vertical="center" shrinkToFit="1"/>
    </xf>
    <xf numFmtId="166" fontId="8" fillId="0" borderId="58" xfId="0" applyNumberFormat="1" applyFont="1" applyBorder="1"/>
    <xf numFmtId="166" fontId="8" fillId="0" borderId="48" xfId="0" applyNumberFormat="1" applyFont="1" applyBorder="1"/>
    <xf numFmtId="166" fontId="8" fillId="0" borderId="33" xfId="0" applyNumberFormat="1" applyFont="1" applyBorder="1" applyAlignment="1">
      <alignment vertical="center" shrinkToFit="1"/>
    </xf>
    <xf numFmtId="166" fontId="8" fillId="0" borderId="39" xfId="0" applyNumberFormat="1" applyFont="1" applyBorder="1" applyAlignment="1">
      <alignment vertical="center" shrinkToFit="1"/>
    </xf>
    <xf numFmtId="166" fontId="8" fillId="10" borderId="52" xfId="0" applyNumberFormat="1" applyFont="1" applyFill="1" applyBorder="1" applyAlignment="1">
      <alignment vertical="center" shrinkToFit="1"/>
    </xf>
    <xf numFmtId="166" fontId="8" fillId="25" borderId="52" xfId="0" applyNumberFormat="1" applyFont="1" applyFill="1" applyBorder="1" applyAlignment="1">
      <alignment vertical="center" shrinkToFit="1"/>
    </xf>
    <xf numFmtId="166" fontId="9" fillId="14" borderId="20" xfId="0" applyNumberFormat="1" applyFont="1" applyFill="1" applyBorder="1" applyAlignment="1">
      <alignment vertical="center" shrinkToFit="1"/>
    </xf>
    <xf numFmtId="166" fontId="8" fillId="10" borderId="20" xfId="0" applyNumberFormat="1" applyFont="1" applyFill="1" applyBorder="1" applyAlignment="1">
      <alignment vertical="center" shrinkToFit="1"/>
    </xf>
    <xf numFmtId="166" fontId="8" fillId="10" borderId="60" xfId="0" applyNumberFormat="1" applyFont="1" applyFill="1" applyBorder="1" applyAlignment="1">
      <alignment vertical="center" shrinkToFit="1"/>
    </xf>
    <xf numFmtId="166" fontId="8" fillId="14" borderId="20" xfId="0" applyNumberFormat="1" applyFont="1" applyFill="1" applyBorder="1" applyAlignment="1">
      <alignment vertical="center" shrinkToFit="1"/>
    </xf>
    <xf numFmtId="166" fontId="8" fillId="10" borderId="74" xfId="0" applyNumberFormat="1" applyFont="1" applyFill="1" applyBorder="1" applyAlignment="1">
      <alignment vertical="center" shrinkToFit="1"/>
    </xf>
    <xf numFmtId="166" fontId="9" fillId="17" borderId="49" xfId="0" applyNumberFormat="1" applyFont="1" applyFill="1" applyBorder="1" applyAlignment="1">
      <alignment vertical="center" shrinkToFit="1"/>
    </xf>
    <xf numFmtId="166" fontId="9" fillId="17" borderId="33" xfId="0" applyNumberFormat="1" applyFont="1" applyFill="1" applyBorder="1" applyAlignment="1">
      <alignment vertical="center" shrinkToFit="1"/>
    </xf>
    <xf numFmtId="166" fontId="9" fillId="17" borderId="28" xfId="0" applyNumberFormat="1" applyFont="1" applyFill="1" applyBorder="1" applyAlignment="1">
      <alignment vertical="center" shrinkToFit="1"/>
    </xf>
    <xf numFmtId="166" fontId="8" fillId="30" borderId="38" xfId="0" applyNumberFormat="1" applyFont="1" applyFill="1" applyBorder="1" applyAlignment="1">
      <alignment vertical="center"/>
    </xf>
    <xf numFmtId="166" fontId="9" fillId="0" borderId="16" xfId="0" applyNumberFormat="1" applyFont="1" applyBorder="1" applyAlignment="1">
      <alignment vertical="center" shrinkToFit="1"/>
    </xf>
    <xf numFmtId="166" fontId="9" fillId="0" borderId="15" xfId="0" applyNumberFormat="1" applyFont="1" applyBorder="1" applyAlignment="1">
      <alignment vertical="center" shrinkToFit="1"/>
    </xf>
    <xf numFmtId="166" fontId="8" fillId="10" borderId="3" xfId="0" applyNumberFormat="1" applyFont="1" applyFill="1" applyBorder="1" applyAlignment="1">
      <alignment vertical="center" shrinkToFit="1"/>
    </xf>
    <xf numFmtId="166" fontId="8" fillId="30" borderId="37" xfId="0" applyNumberFormat="1" applyFont="1" applyFill="1" applyBorder="1" applyAlignment="1">
      <alignment vertical="center"/>
    </xf>
    <xf numFmtId="166" fontId="50" fillId="17" borderId="76" xfId="0" applyNumberFormat="1" applyFont="1" applyFill="1" applyBorder="1" applyAlignment="1">
      <alignment vertical="center" shrinkToFit="1"/>
    </xf>
    <xf numFmtId="166" fontId="50" fillId="17" borderId="44" xfId="0" applyNumberFormat="1" applyFont="1" applyFill="1" applyBorder="1" applyAlignment="1">
      <alignment vertical="center" shrinkToFit="1"/>
    </xf>
    <xf numFmtId="166" fontId="50" fillId="17" borderId="71" xfId="0" applyNumberFormat="1" applyFont="1" applyFill="1" applyBorder="1" applyAlignment="1">
      <alignment vertical="center" shrinkToFit="1"/>
    </xf>
    <xf numFmtId="166" fontId="8" fillId="30" borderId="0" xfId="0" applyNumberFormat="1" applyFont="1" applyFill="1" applyBorder="1" applyAlignment="1">
      <alignment vertical="center"/>
    </xf>
    <xf numFmtId="166" fontId="50" fillId="0" borderId="76" xfId="0" applyNumberFormat="1" applyFont="1" applyBorder="1" applyAlignment="1">
      <alignment vertical="center" shrinkToFit="1"/>
    </xf>
    <xf numFmtId="166" fontId="51" fillId="0" borderId="44" xfId="0" applyNumberFormat="1" applyFont="1" applyBorder="1" applyAlignment="1">
      <alignment vertical="center" shrinkToFit="1"/>
    </xf>
    <xf numFmtId="166" fontId="8" fillId="30" borderId="51" xfId="0" applyNumberFormat="1" applyFont="1" applyFill="1" applyBorder="1" applyAlignment="1">
      <alignment vertical="center"/>
    </xf>
    <xf numFmtId="166" fontId="8" fillId="30" borderId="16" xfId="0" applyNumberFormat="1" applyFont="1" applyFill="1" applyBorder="1" applyAlignment="1">
      <alignment vertical="center"/>
    </xf>
    <xf numFmtId="166" fontId="8" fillId="30" borderId="4" xfId="0" applyNumberFormat="1" applyFont="1" applyFill="1" applyBorder="1" applyAlignment="1">
      <alignment vertical="center"/>
    </xf>
    <xf numFmtId="166" fontId="10" fillId="13" borderId="48" xfId="0" applyNumberFormat="1" applyFont="1" applyFill="1" applyBorder="1" applyAlignment="1">
      <alignment horizontal="left" vertical="center"/>
    </xf>
    <xf numFmtId="166" fontId="10" fillId="14" borderId="48" xfId="0" applyNumberFormat="1" applyFont="1" applyFill="1" applyBorder="1" applyAlignment="1">
      <alignment horizontal="right" vertical="center"/>
    </xf>
    <xf numFmtId="166" fontId="10" fillId="27" borderId="31" xfId="0" applyNumberFormat="1" applyFont="1" applyFill="1" applyBorder="1" applyAlignment="1">
      <alignment horizontal="left" vertical="center"/>
    </xf>
    <xf numFmtId="166" fontId="10" fillId="0" borderId="48" xfId="0" applyNumberFormat="1" applyFont="1" applyFill="1" applyBorder="1" applyAlignment="1">
      <alignment horizontal="left" vertical="center"/>
    </xf>
    <xf numFmtId="166" fontId="11" fillId="28" borderId="48" xfId="0" applyNumberFormat="1" applyFont="1" applyFill="1" applyBorder="1" applyAlignment="1">
      <alignment horizontal="right" vertical="center"/>
    </xf>
    <xf numFmtId="166" fontId="5" fillId="27" borderId="31" xfId="0" applyNumberFormat="1" applyFont="1" applyFill="1" applyBorder="1" applyAlignment="1">
      <alignment horizontal="right" vertical="center"/>
    </xf>
    <xf numFmtId="166" fontId="61" fillId="0" borderId="7" xfId="0" applyNumberFormat="1" applyFont="1" applyFill="1" applyBorder="1" applyAlignment="1">
      <alignment horizontal="right" vertical="center"/>
    </xf>
    <xf numFmtId="166" fontId="62" fillId="0" borderId="7" xfId="0" applyNumberFormat="1" applyFont="1" applyFill="1" applyBorder="1" applyAlignment="1">
      <alignment horizontal="right" vertical="center"/>
    </xf>
    <xf numFmtId="0" fontId="3" fillId="0" borderId="31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/>
    </xf>
    <xf numFmtId="165" fontId="3" fillId="0" borderId="73" xfId="0" applyNumberFormat="1" applyFont="1" applyBorder="1"/>
    <xf numFmtId="165" fontId="3" fillId="0" borderId="40" xfId="0" applyNumberFormat="1" applyFont="1" applyBorder="1"/>
    <xf numFmtId="165" fontId="3" fillId="0" borderId="47" xfId="0" applyNumberFormat="1" applyFont="1" applyBorder="1"/>
    <xf numFmtId="165" fontId="3" fillId="0" borderId="31" xfId="0" applyNumberFormat="1" applyFont="1" applyBorder="1"/>
    <xf numFmtId="0" fontId="3" fillId="0" borderId="4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165" fontId="35" fillId="0" borderId="30" xfId="0" applyNumberFormat="1" applyFont="1" applyFill="1" applyBorder="1" applyAlignment="1">
      <alignment horizontal="left" vertical="center"/>
    </xf>
    <xf numFmtId="166" fontId="55" fillId="3" borderId="32" xfId="0" applyNumberFormat="1" applyFont="1" applyFill="1" applyBorder="1" applyAlignment="1">
      <alignment shrinkToFit="1"/>
    </xf>
    <xf numFmtId="166" fontId="15" fillId="0" borderId="0" xfId="0" applyNumberFormat="1" applyFont="1" applyAlignment="1">
      <alignment horizontal="center"/>
    </xf>
    <xf numFmtId="166" fontId="15" fillId="0" borderId="0" xfId="0" applyNumberFormat="1" applyFont="1"/>
    <xf numFmtId="166" fontId="18" fillId="0" borderId="15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/>
    </xf>
    <xf numFmtId="166" fontId="3" fillId="0" borderId="74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6" fontId="3" fillId="0" borderId="52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166" fontId="3" fillId="0" borderId="20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6" fontId="2" fillId="0" borderId="20" xfId="0" applyNumberFormat="1" applyFont="1" applyBorder="1" applyAlignment="1">
      <alignment horizontal="center"/>
    </xf>
    <xf numFmtId="166" fontId="2" fillId="0" borderId="25" xfId="0" applyNumberFormat="1" applyFont="1" applyBorder="1" applyAlignment="1">
      <alignment horizontal="center"/>
    </xf>
    <xf numFmtId="166" fontId="2" fillId="0" borderId="21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74" xfId="0" applyNumberFormat="1" applyFont="1" applyBorder="1" applyAlignment="1">
      <alignment horizontal="center"/>
    </xf>
    <xf numFmtId="166" fontId="6" fillId="0" borderId="7" xfId="0" applyNumberFormat="1" applyFont="1" applyBorder="1" applyAlignment="1">
      <alignment horizontal="center"/>
    </xf>
    <xf numFmtId="166" fontId="6" fillId="0" borderId="20" xfId="0" applyNumberFormat="1" applyFont="1" applyBorder="1" applyAlignment="1">
      <alignment horizontal="center"/>
    </xf>
    <xf numFmtId="166" fontId="2" fillId="0" borderId="20" xfId="0" applyNumberFormat="1" applyFont="1" applyBorder="1"/>
    <xf numFmtId="166" fontId="3" fillId="0" borderId="20" xfId="0" applyNumberFormat="1" applyFont="1" applyBorder="1"/>
    <xf numFmtId="166" fontId="3" fillId="0" borderId="25" xfId="0" applyNumberFormat="1" applyFont="1" applyBorder="1" applyAlignment="1">
      <alignment horizontal="center"/>
    </xf>
    <xf numFmtId="166" fontId="3" fillId="0" borderId="21" xfId="0" applyNumberFormat="1" applyFont="1" applyBorder="1" applyAlignment="1">
      <alignment horizontal="center"/>
    </xf>
    <xf numFmtId="166" fontId="19" fillId="0" borderId="20" xfId="0" applyNumberFormat="1" applyFont="1" applyBorder="1" applyAlignment="1">
      <alignment horizontal="center"/>
    </xf>
    <xf numFmtId="166" fontId="2" fillId="0" borderId="52" xfId="2" applyNumberFormat="1" applyFont="1" applyBorder="1" applyAlignment="1">
      <alignment horizontal="center"/>
    </xf>
    <xf numFmtId="166" fontId="2" fillId="0" borderId="28" xfId="0" applyNumberFormat="1" applyFont="1" applyBorder="1" applyAlignment="1">
      <alignment horizontal="center"/>
    </xf>
    <xf numFmtId="166" fontId="4" fillId="0" borderId="28" xfId="0" applyNumberFormat="1" applyFont="1" applyBorder="1" applyAlignment="1">
      <alignment horizontal="center" vertical="center" wrapText="1"/>
    </xf>
    <xf numFmtId="166" fontId="4" fillId="0" borderId="21" xfId="0" applyNumberFormat="1" applyFont="1" applyBorder="1" applyAlignment="1">
      <alignment horizontal="center" vertical="center" wrapText="1"/>
    </xf>
    <xf numFmtId="166" fontId="2" fillId="0" borderId="57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52" xfId="0" applyNumberFormat="1" applyFont="1" applyBorder="1" applyAlignment="1">
      <alignment horizontal="center" vertical="center" wrapText="1"/>
    </xf>
    <xf numFmtId="166" fontId="3" fillId="0" borderId="44" xfId="0" applyNumberFormat="1" applyFont="1" applyBorder="1" applyAlignment="1">
      <alignment horizontal="center" vertical="center" wrapText="1"/>
    </xf>
    <xf numFmtId="166" fontId="3" fillId="0" borderId="9" xfId="0" applyNumberFormat="1" applyFont="1" applyBorder="1" applyAlignment="1">
      <alignment horizontal="center" vertical="center" wrapText="1"/>
    </xf>
    <xf numFmtId="166" fontId="18" fillId="0" borderId="7" xfId="0" applyNumberFormat="1" applyFont="1" applyFill="1" applyBorder="1" applyAlignment="1">
      <alignment horizontal="center" vertical="top"/>
    </xf>
    <xf numFmtId="166" fontId="3" fillId="0" borderId="49" xfId="0" applyNumberFormat="1" applyFont="1" applyBorder="1" applyAlignment="1">
      <alignment horizontal="center"/>
    </xf>
    <xf numFmtId="166" fontId="3" fillId="0" borderId="4" xfId="0" applyNumberFormat="1" applyFont="1" applyFill="1" applyBorder="1" applyAlignment="1">
      <alignment horizontal="center" vertical="top"/>
    </xf>
    <xf numFmtId="166" fontId="3" fillId="0" borderId="1" xfId="0" applyNumberFormat="1" applyFont="1" applyFill="1" applyBorder="1" applyAlignment="1">
      <alignment horizontal="center" vertical="top"/>
    </xf>
    <xf numFmtId="166" fontId="21" fillId="0" borderId="1" xfId="0" applyNumberFormat="1" applyFont="1" applyFill="1" applyBorder="1" applyAlignment="1">
      <alignment horizontal="center" vertical="top"/>
    </xf>
    <xf numFmtId="166" fontId="21" fillId="0" borderId="52" xfId="0" applyNumberFormat="1" applyFont="1" applyFill="1" applyBorder="1" applyAlignment="1">
      <alignment horizontal="center" vertical="top"/>
    </xf>
    <xf numFmtId="166" fontId="4" fillId="0" borderId="1" xfId="0" applyNumberFormat="1" applyFont="1" applyFill="1" applyBorder="1" applyAlignment="1">
      <alignment horizontal="center" vertical="top"/>
    </xf>
    <xf numFmtId="166" fontId="4" fillId="0" borderId="52" xfId="0" applyNumberFormat="1" applyFont="1" applyFill="1" applyBorder="1" applyAlignment="1">
      <alignment horizontal="center" vertical="top"/>
    </xf>
    <xf numFmtId="166" fontId="18" fillId="0" borderId="44" xfId="0" applyNumberFormat="1" applyFont="1" applyFill="1" applyBorder="1" applyAlignment="1">
      <alignment horizontal="center" vertical="top"/>
    </xf>
    <xf numFmtId="166" fontId="3" fillId="0" borderId="52" xfId="0" applyNumberFormat="1" applyFont="1" applyFill="1" applyBorder="1" applyAlignment="1">
      <alignment horizontal="center" vertical="top"/>
    </xf>
    <xf numFmtId="166" fontId="3" fillId="0" borderId="0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9" fontId="2" fillId="0" borderId="7" xfId="4" applyFont="1" applyBorder="1" applyAlignment="1">
      <alignment horizontal="center"/>
    </xf>
    <xf numFmtId="9" fontId="2" fillId="0" borderId="4" xfId="4" applyFont="1" applyBorder="1" applyAlignment="1">
      <alignment horizontal="center"/>
    </xf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74" xfId="0" applyNumberFormat="1" applyFont="1" applyBorder="1"/>
    <xf numFmtId="166" fontId="3" fillId="0" borderId="74" xfId="0" applyNumberFormat="1" applyFont="1" applyFill="1" applyBorder="1" applyAlignment="1">
      <alignment horizontal="center" vertical="top"/>
    </xf>
    <xf numFmtId="166" fontId="9" fillId="0" borderId="38" xfId="0" applyNumberFormat="1" applyFont="1" applyBorder="1" applyAlignment="1">
      <alignment horizontal="center" vertical="center" wrapText="1"/>
    </xf>
    <xf numFmtId="165" fontId="12" fillId="0" borderId="58" xfId="0" applyNumberFormat="1" applyFont="1" applyFill="1" applyBorder="1" applyAlignment="1">
      <alignment horizontal="center" vertical="center" wrapText="1"/>
    </xf>
    <xf numFmtId="1" fontId="11" fillId="0" borderId="35" xfId="0" applyNumberFormat="1" applyFont="1" applyBorder="1" applyAlignment="1">
      <alignment shrinkToFit="1"/>
    </xf>
    <xf numFmtId="1" fontId="11" fillId="0" borderId="7" xfId="0" applyNumberFormat="1" applyFont="1" applyBorder="1" applyAlignment="1">
      <alignment shrinkToFit="1"/>
    </xf>
    <xf numFmtId="3" fontId="10" fillId="0" borderId="74" xfId="0" applyNumberFormat="1" applyFont="1" applyBorder="1" applyAlignment="1">
      <alignment shrinkToFit="1"/>
    </xf>
    <xf numFmtId="3" fontId="10" fillId="0" borderId="11" xfId="0" applyNumberFormat="1" applyFont="1" applyBorder="1" applyAlignment="1">
      <alignment shrinkToFit="1"/>
    </xf>
    <xf numFmtId="3" fontId="10" fillId="0" borderId="0" xfId="0" applyNumberFormat="1" applyFont="1"/>
    <xf numFmtId="3" fontId="11" fillId="0" borderId="0" xfId="0" applyNumberFormat="1" applyFont="1"/>
    <xf numFmtId="3" fontId="11" fillId="0" borderId="12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center"/>
    </xf>
    <xf numFmtId="3" fontId="10" fillId="0" borderId="23" xfId="0" applyNumberFormat="1" applyFont="1" applyBorder="1" applyAlignment="1">
      <alignment shrinkToFit="1"/>
    </xf>
    <xf numFmtId="3" fontId="10" fillId="0" borderId="24" xfId="0" applyNumberFormat="1" applyFont="1" applyBorder="1" applyAlignment="1">
      <alignment shrinkToFit="1"/>
    </xf>
    <xf numFmtId="3" fontId="10" fillId="0" borderId="32" xfId="0" applyNumberFormat="1" applyFont="1" applyBorder="1" applyAlignment="1">
      <alignment shrinkToFit="1"/>
    </xf>
    <xf numFmtId="3" fontId="10" fillId="0" borderId="6" xfId="0" applyNumberFormat="1" applyFont="1" applyBorder="1" applyAlignment="1">
      <alignment shrinkToFit="1"/>
    </xf>
    <xf numFmtId="3" fontId="10" fillId="0" borderId="2" xfId="0" applyNumberFormat="1" applyFont="1" applyBorder="1" applyAlignment="1">
      <alignment shrinkToFit="1"/>
    </xf>
    <xf numFmtId="3" fontId="10" fillId="0" borderId="2" xfId="0" applyNumberFormat="1" applyFont="1" applyBorder="1"/>
    <xf numFmtId="3" fontId="10" fillId="0" borderId="16" xfId="0" applyNumberFormat="1" applyFont="1" applyBorder="1"/>
    <xf numFmtId="3" fontId="10" fillId="0" borderId="23" xfId="0" applyNumberFormat="1" applyFont="1" applyBorder="1"/>
    <xf numFmtId="3" fontId="10" fillId="0" borderId="24" xfId="0" applyNumberFormat="1" applyFont="1" applyBorder="1"/>
    <xf numFmtId="3" fontId="10" fillId="0" borderId="0" xfId="0" applyNumberFormat="1" applyFont="1" applyBorder="1"/>
    <xf numFmtId="3" fontId="11" fillId="0" borderId="68" xfId="0" applyNumberFormat="1" applyFont="1" applyBorder="1" applyAlignment="1">
      <alignment horizontal="center"/>
    </xf>
    <xf numFmtId="3" fontId="11" fillId="0" borderId="67" xfId="0" applyNumberFormat="1" applyFont="1" applyBorder="1" applyAlignment="1">
      <alignment horizontal="center"/>
    </xf>
    <xf numFmtId="3" fontId="10" fillId="0" borderId="0" xfId="0" applyNumberFormat="1" applyFont="1" applyAlignment="1">
      <alignment wrapText="1"/>
    </xf>
    <xf numFmtId="3" fontId="12" fillId="0" borderId="0" xfId="0" applyNumberFormat="1" applyFont="1"/>
    <xf numFmtId="3" fontId="13" fillId="0" borderId="0" xfId="0" applyNumberFormat="1" applyFont="1"/>
    <xf numFmtId="2" fontId="10" fillId="0" borderId="20" xfId="0" applyNumberFormat="1" applyFont="1" applyFill="1" applyBorder="1" applyAlignment="1">
      <alignment shrinkToFit="1"/>
    </xf>
    <xf numFmtId="164" fontId="34" fillId="0" borderId="48" xfId="0" applyNumberFormat="1" applyFont="1" applyFill="1" applyBorder="1" applyAlignment="1">
      <alignment shrinkToFit="1"/>
    </xf>
    <xf numFmtId="165" fontId="10" fillId="0" borderId="48" xfId="0" applyNumberFormat="1" applyFont="1" applyFill="1" applyBorder="1" applyAlignment="1">
      <alignment horizontal="left"/>
    </xf>
    <xf numFmtId="166" fontId="8" fillId="4" borderId="35" xfId="0" applyNumberFormat="1" applyFont="1" applyFill="1" applyBorder="1" applyAlignment="1">
      <alignment vertical="center" shrinkToFit="1"/>
    </xf>
    <xf numFmtId="166" fontId="8" fillId="0" borderId="45" xfId="0" applyNumberFormat="1" applyFont="1" applyBorder="1" applyAlignment="1">
      <alignment vertical="center" shrinkToFit="1"/>
    </xf>
    <xf numFmtId="2" fontId="10" fillId="0" borderId="10" xfId="1" applyNumberFormat="1" applyFont="1" applyBorder="1" applyAlignment="1">
      <alignment horizontal="left" vertical="center"/>
    </xf>
    <xf numFmtId="164" fontId="12" fillId="0" borderId="48" xfId="0" applyNumberFormat="1" applyFont="1" applyBorder="1"/>
    <xf numFmtId="164" fontId="12" fillId="0" borderId="31" xfId="0" applyNumberFormat="1" applyFont="1" applyBorder="1"/>
    <xf numFmtId="0" fontId="2" fillId="0" borderId="14" xfId="0" applyFont="1" applyBorder="1" applyAlignment="1">
      <alignment horizontal="center" vertical="center" wrapText="1"/>
    </xf>
    <xf numFmtId="166" fontId="11" fillId="27" borderId="31" xfId="0" applyNumberFormat="1" applyFont="1" applyFill="1" applyBorder="1" applyAlignment="1">
      <alignment horizontal="right" vertical="center"/>
    </xf>
    <xf numFmtId="166" fontId="64" fillId="0" borderId="7" xfId="0" applyNumberFormat="1" applyFont="1" applyBorder="1" applyAlignment="1">
      <alignment vertical="center" shrinkToFit="1"/>
    </xf>
    <xf numFmtId="166" fontId="64" fillId="0" borderId="8" xfId="0" applyNumberFormat="1" applyFont="1" applyBorder="1" applyAlignment="1">
      <alignment vertical="center" shrinkToFit="1"/>
    </xf>
    <xf numFmtId="166" fontId="64" fillId="0" borderId="48" xfId="0" applyNumberFormat="1" applyFont="1" applyBorder="1" applyAlignment="1">
      <alignment vertical="center" shrinkToFit="1"/>
    </xf>
    <xf numFmtId="166" fontId="8" fillId="9" borderId="4" xfId="0" applyNumberFormat="1" applyFont="1" applyFill="1" applyBorder="1" applyAlignment="1">
      <alignment vertical="center" shrinkToFit="1"/>
    </xf>
    <xf numFmtId="166" fontId="8" fillId="0" borderId="28" xfId="0" applyNumberFormat="1" applyFont="1" applyFill="1" applyBorder="1" applyAlignment="1">
      <alignment vertical="center" shrinkToFit="1"/>
    </xf>
    <xf numFmtId="166" fontId="8" fillId="0" borderId="33" xfId="0" applyNumberFormat="1" applyFont="1" applyFill="1" applyBorder="1" applyAlignment="1">
      <alignment vertical="center" shrinkToFit="1"/>
    </xf>
    <xf numFmtId="166" fontId="8" fillId="25" borderId="49" xfId="0" applyNumberFormat="1" applyFont="1" applyFill="1" applyBorder="1" applyAlignment="1">
      <alignment vertical="center" shrinkToFit="1"/>
    </xf>
    <xf numFmtId="2" fontId="6" fillId="0" borderId="0" xfId="0" applyNumberFormat="1" applyFont="1"/>
    <xf numFmtId="166" fontId="24" fillId="4" borderId="34" xfId="0" applyNumberFormat="1" applyFont="1" applyFill="1" applyBorder="1" applyAlignment="1">
      <alignment horizontal="left" vertical="center" wrapText="1"/>
    </xf>
    <xf numFmtId="166" fontId="8" fillId="4" borderId="71" xfId="0" applyNumberFormat="1" applyFont="1" applyFill="1" applyBorder="1" applyAlignment="1">
      <alignment vertical="center" shrinkToFit="1"/>
    </xf>
    <xf numFmtId="166" fontId="8" fillId="4" borderId="0" xfId="0" applyNumberFormat="1" applyFont="1" applyFill="1" applyBorder="1" applyAlignment="1">
      <alignment vertical="center" shrinkToFit="1"/>
    </xf>
    <xf numFmtId="166" fontId="9" fillId="4" borderId="34" xfId="0" applyNumberFormat="1" applyFont="1" applyFill="1" applyBorder="1" applyAlignment="1">
      <alignment vertical="center" shrinkToFit="1"/>
    </xf>
    <xf numFmtId="166" fontId="8" fillId="4" borderId="36" xfId="0" applyNumberFormat="1" applyFont="1" applyFill="1" applyBorder="1" applyAlignment="1">
      <alignment vertical="center" shrinkToFit="1"/>
    </xf>
    <xf numFmtId="166" fontId="8" fillId="4" borderId="54" xfId="0" applyNumberFormat="1" applyFont="1" applyFill="1" applyBorder="1" applyAlignment="1">
      <alignment vertical="center" shrinkToFit="1"/>
    </xf>
    <xf numFmtId="166" fontId="64" fillId="0" borderId="56" xfId="0" applyNumberFormat="1" applyFont="1" applyBorder="1" applyAlignment="1">
      <alignment vertical="center" shrinkToFit="1"/>
    </xf>
    <xf numFmtId="165" fontId="11" fillId="0" borderId="9" xfId="0" applyNumberFormat="1" applyFont="1" applyBorder="1" applyAlignment="1">
      <alignment horizontal="left"/>
    </xf>
    <xf numFmtId="165" fontId="10" fillId="0" borderId="31" xfId="0" applyNumberFormat="1" applyFont="1" applyBorder="1" applyAlignment="1">
      <alignment horizontal="center"/>
    </xf>
    <xf numFmtId="2" fontId="11" fillId="0" borderId="76" xfId="0" applyNumberFormat="1" applyFont="1" applyBorder="1" applyAlignment="1">
      <alignment horizontal="center"/>
    </xf>
    <xf numFmtId="164" fontId="10" fillId="0" borderId="50" xfId="0" applyNumberFormat="1" applyFont="1" applyBorder="1" applyAlignment="1">
      <alignment shrinkToFit="1"/>
    </xf>
    <xf numFmtId="1" fontId="10" fillId="0" borderId="73" xfId="0" applyNumberFormat="1" applyFont="1" applyBorder="1" applyAlignment="1">
      <alignment shrinkToFit="1"/>
    </xf>
    <xf numFmtId="1" fontId="10" fillId="0" borderId="19" xfId="0" applyNumberFormat="1" applyFont="1" applyBorder="1" applyAlignment="1">
      <alignment shrinkToFit="1"/>
    </xf>
    <xf numFmtId="1" fontId="10" fillId="0" borderId="18" xfId="0" applyNumberFormat="1" applyFont="1" applyFill="1" applyBorder="1" applyAlignment="1">
      <alignment shrinkToFit="1"/>
    </xf>
    <xf numFmtId="169" fontId="10" fillId="0" borderId="19" xfId="0" applyNumberFormat="1" applyFont="1" applyFill="1" applyBorder="1" applyAlignment="1">
      <alignment shrinkToFit="1"/>
    </xf>
    <xf numFmtId="1" fontId="10" fillId="0" borderId="50" xfId="0" applyNumberFormat="1" applyFont="1" applyFill="1" applyBorder="1" applyAlignment="1">
      <alignment shrinkToFit="1"/>
    </xf>
    <xf numFmtId="2" fontId="10" fillId="0" borderId="73" xfId="0" applyNumberFormat="1" applyFont="1" applyFill="1" applyBorder="1" applyAlignment="1">
      <alignment shrinkToFit="1"/>
    </xf>
    <xf numFmtId="164" fontId="10" fillId="0" borderId="19" xfId="0" applyNumberFormat="1" applyFont="1" applyFill="1" applyBorder="1" applyAlignment="1">
      <alignment shrinkToFit="1"/>
    </xf>
    <xf numFmtId="0" fontId="10" fillId="0" borderId="11" xfId="0" applyFont="1" applyBorder="1" applyAlignment="1">
      <alignment shrinkToFit="1"/>
    </xf>
    <xf numFmtId="164" fontId="10" fillId="0" borderId="9" xfId="0" applyNumberFormat="1" applyFont="1" applyBorder="1" applyAlignment="1">
      <alignment shrinkToFit="1"/>
    </xf>
    <xf numFmtId="164" fontId="10" fillId="0" borderId="20" xfId="0" applyNumberFormat="1" applyFont="1" applyBorder="1" applyAlignment="1">
      <alignment shrinkToFit="1"/>
    </xf>
    <xf numFmtId="1" fontId="10" fillId="0" borderId="11" xfId="0" applyNumberFormat="1" applyFont="1" applyFill="1" applyBorder="1" applyAlignment="1">
      <alignment shrinkToFit="1"/>
    </xf>
    <xf numFmtId="169" fontId="10" fillId="0" borderId="10" xfId="0" applyNumberFormat="1" applyFont="1" applyFill="1" applyBorder="1" applyAlignment="1">
      <alignment shrinkToFit="1"/>
    </xf>
    <xf numFmtId="1" fontId="10" fillId="0" borderId="9" xfId="0" applyNumberFormat="1" applyFont="1" applyFill="1" applyBorder="1" applyAlignment="1">
      <alignment shrinkToFit="1"/>
    </xf>
    <xf numFmtId="2" fontId="10" fillId="0" borderId="31" xfId="0" applyNumberFormat="1" applyFont="1" applyFill="1" applyBorder="1" applyAlignment="1">
      <alignment shrinkToFit="1"/>
    </xf>
    <xf numFmtId="164" fontId="10" fillId="0" borderId="10" xfId="0" applyNumberFormat="1" applyFont="1" applyFill="1" applyBorder="1" applyAlignment="1">
      <alignment shrinkToFit="1"/>
    </xf>
    <xf numFmtId="3" fontId="10" fillId="0" borderId="31" xfId="0" applyNumberFormat="1" applyFont="1" applyFill="1" applyBorder="1" applyAlignment="1">
      <alignment shrinkToFit="1"/>
    </xf>
    <xf numFmtId="1" fontId="12" fillId="0" borderId="23" xfId="0" applyNumberFormat="1" applyFont="1" applyBorder="1" applyAlignment="1">
      <alignment shrinkToFit="1"/>
    </xf>
    <xf numFmtId="164" fontId="12" fillId="0" borderId="24" xfId="0" applyNumberFormat="1" applyFont="1" applyBorder="1" applyAlignment="1">
      <alignment shrinkToFit="1"/>
    </xf>
    <xf numFmtId="164" fontId="12" fillId="0" borderId="21" xfId="0" applyNumberFormat="1" applyFont="1" applyBorder="1" applyAlignment="1">
      <alignment shrinkToFit="1"/>
    </xf>
    <xf numFmtId="169" fontId="12" fillId="0" borderId="24" xfId="0" applyNumberFormat="1" applyFont="1" applyBorder="1" applyAlignment="1">
      <alignment shrinkToFit="1"/>
    </xf>
    <xf numFmtId="1" fontId="12" fillId="0" borderId="26" xfId="0" applyNumberFormat="1" applyFont="1" applyBorder="1" applyAlignment="1">
      <alignment shrinkToFit="1"/>
    </xf>
    <xf numFmtId="164" fontId="12" fillId="0" borderId="27" xfId="0" applyNumberFormat="1" applyFont="1" applyBorder="1" applyAlignment="1">
      <alignment shrinkToFit="1"/>
    </xf>
    <xf numFmtId="3" fontId="12" fillId="0" borderId="26" xfId="0" applyNumberFormat="1" applyFont="1" applyBorder="1" applyAlignment="1">
      <alignment shrinkToFit="1"/>
    </xf>
    <xf numFmtId="3" fontId="12" fillId="0" borderId="27" xfId="0" applyNumberFormat="1" applyFont="1" applyBorder="1" applyAlignment="1">
      <alignment shrinkToFit="1"/>
    </xf>
    <xf numFmtId="0" fontId="10" fillId="0" borderId="9" xfId="0" applyFont="1" applyBorder="1" applyAlignment="1">
      <alignment shrinkToFit="1"/>
    </xf>
    <xf numFmtId="164" fontId="10" fillId="0" borderId="7" xfId="0" applyNumberFormat="1" applyFont="1" applyBorder="1" applyAlignment="1">
      <alignment shrinkToFit="1"/>
    </xf>
    <xf numFmtId="164" fontId="12" fillId="0" borderId="25" xfId="0" applyNumberFormat="1" applyFont="1" applyBorder="1" applyAlignment="1">
      <alignment shrinkToFit="1"/>
    </xf>
    <xf numFmtId="164" fontId="10" fillId="0" borderId="73" xfId="0" applyNumberFormat="1" applyFont="1" applyFill="1" applyBorder="1" applyAlignment="1">
      <alignment shrinkToFit="1"/>
    </xf>
    <xf numFmtId="164" fontId="10" fillId="0" borderId="50" xfId="0" applyNumberFormat="1" applyFont="1" applyFill="1" applyBorder="1" applyAlignment="1">
      <alignment shrinkToFit="1"/>
    </xf>
    <xf numFmtId="1" fontId="10" fillId="0" borderId="4" xfId="0" applyNumberFormat="1" applyFont="1" applyFill="1" applyBorder="1" applyAlignment="1">
      <alignment shrinkToFit="1"/>
    </xf>
    <xf numFmtId="164" fontId="10" fillId="0" borderId="9" xfId="0" applyNumberFormat="1" applyFont="1" applyFill="1" applyBorder="1" applyAlignment="1">
      <alignment shrinkToFit="1"/>
    </xf>
    <xf numFmtId="1" fontId="10" fillId="0" borderId="7" xfId="0" applyNumberFormat="1" applyFont="1" applyFill="1" applyBorder="1" applyAlignment="1">
      <alignment shrinkToFit="1"/>
    </xf>
    <xf numFmtId="165" fontId="10" fillId="0" borderId="50" xfId="0" applyNumberFormat="1" applyFont="1" applyFill="1" applyBorder="1" applyAlignment="1">
      <alignment shrinkToFit="1"/>
    </xf>
    <xf numFmtId="165" fontId="10" fillId="0" borderId="73" xfId="0" applyNumberFormat="1" applyFont="1" applyFill="1" applyBorder="1" applyAlignment="1">
      <alignment shrinkToFit="1"/>
    </xf>
    <xf numFmtId="0" fontId="10" fillId="0" borderId="11" xfId="0" applyFont="1" applyFill="1" applyBorder="1" applyAlignment="1">
      <alignment shrinkToFit="1"/>
    </xf>
    <xf numFmtId="1" fontId="11" fillId="0" borderId="2" xfId="0" applyNumberFormat="1" applyFont="1" applyBorder="1" applyAlignment="1">
      <alignment shrinkToFit="1"/>
    </xf>
    <xf numFmtId="164" fontId="11" fillId="0" borderId="68" xfId="0" applyNumberFormat="1" applyFont="1" applyBorder="1" applyAlignment="1">
      <alignment shrinkToFit="1"/>
    </xf>
    <xf numFmtId="169" fontId="11" fillId="0" borderId="68" xfId="0" applyNumberFormat="1" applyFont="1" applyBorder="1" applyAlignment="1">
      <alignment shrinkToFit="1"/>
    </xf>
    <xf numFmtId="164" fontId="11" fillId="0" borderId="17" xfId="0" applyNumberFormat="1" applyFont="1" applyBorder="1" applyAlignment="1">
      <alignment shrinkToFit="1"/>
    </xf>
    <xf numFmtId="3" fontId="11" fillId="0" borderId="2" xfId="0" applyNumberFormat="1" applyFont="1" applyBorder="1" applyAlignment="1">
      <alignment shrinkToFit="1"/>
    </xf>
    <xf numFmtId="1" fontId="10" fillId="0" borderId="75" xfId="0" applyNumberFormat="1" applyFont="1" applyBorder="1" applyAlignment="1">
      <alignment shrinkToFit="1"/>
    </xf>
    <xf numFmtId="164" fontId="10" fillId="0" borderId="61" xfId="0" applyNumberFormat="1" applyFont="1" applyBorder="1" applyAlignment="1">
      <alignment shrinkToFit="1"/>
    </xf>
    <xf numFmtId="1" fontId="11" fillId="0" borderId="75" xfId="0" applyNumberFormat="1" applyFont="1" applyBorder="1"/>
    <xf numFmtId="164" fontId="11" fillId="0" borderId="76" xfId="0" applyNumberFormat="1" applyFont="1" applyBorder="1"/>
    <xf numFmtId="164" fontId="11" fillId="0" borderId="61" xfId="0" applyNumberFormat="1" applyFont="1" applyBorder="1"/>
    <xf numFmtId="1" fontId="11" fillId="0" borderId="71" xfId="0" applyNumberFormat="1" applyFont="1" applyBorder="1"/>
    <xf numFmtId="164" fontId="11" fillId="0" borderId="60" xfId="0" applyNumberFormat="1" applyFont="1" applyBorder="1"/>
    <xf numFmtId="1" fontId="11" fillId="0" borderId="44" xfId="0" applyNumberFormat="1" applyFont="1" applyBorder="1" applyAlignment="1">
      <alignment shrinkToFit="1"/>
    </xf>
    <xf numFmtId="1" fontId="13" fillId="0" borderId="23" xfId="0" applyNumberFormat="1" applyFont="1" applyBorder="1" applyAlignment="1">
      <alignment shrinkToFit="1"/>
    </xf>
    <xf numFmtId="164" fontId="13" fillId="0" borderId="24" xfId="0" applyNumberFormat="1" applyFont="1" applyBorder="1" applyAlignment="1">
      <alignment shrinkToFit="1"/>
    </xf>
    <xf numFmtId="164" fontId="13" fillId="0" borderId="25" xfId="0" applyNumberFormat="1" applyFont="1" applyBorder="1" applyAlignment="1">
      <alignment shrinkToFit="1"/>
    </xf>
    <xf numFmtId="169" fontId="13" fillId="0" borderId="24" xfId="0" applyNumberFormat="1" applyFont="1" applyBorder="1" applyAlignment="1">
      <alignment shrinkToFit="1"/>
    </xf>
    <xf numFmtId="1" fontId="13" fillId="0" borderId="26" xfId="0" applyNumberFormat="1" applyFont="1" applyBorder="1" applyAlignment="1">
      <alignment shrinkToFit="1"/>
    </xf>
    <xf numFmtId="164" fontId="13" fillId="0" borderId="27" xfId="0" applyNumberFormat="1" applyFont="1" applyBorder="1" applyAlignment="1">
      <alignment shrinkToFit="1"/>
    </xf>
    <xf numFmtId="3" fontId="13" fillId="0" borderId="26" xfId="0" applyNumberFormat="1" applyFont="1" applyBorder="1" applyAlignment="1">
      <alignment shrinkToFit="1"/>
    </xf>
    <xf numFmtId="1" fontId="13" fillId="0" borderId="25" xfId="0" applyNumberFormat="1" applyFont="1" applyBorder="1" applyAlignment="1">
      <alignment shrinkToFit="1"/>
    </xf>
    <xf numFmtId="165" fontId="13" fillId="0" borderId="42" xfId="0" applyNumberFormat="1" applyFont="1" applyFill="1" applyBorder="1" applyAlignment="1">
      <alignment shrinkToFit="1"/>
    </xf>
    <xf numFmtId="165" fontId="13" fillId="0" borderId="23" xfId="0" applyNumberFormat="1" applyFont="1" applyFill="1" applyBorder="1" applyAlignment="1">
      <alignment shrinkToFit="1"/>
    </xf>
    <xf numFmtId="165" fontId="13" fillId="0" borderId="56" xfId="0" applyNumberFormat="1" applyFont="1" applyFill="1" applyBorder="1" applyAlignment="1">
      <alignment shrinkToFit="1"/>
    </xf>
    <xf numFmtId="165" fontId="13" fillId="0" borderId="24" xfId="0" applyNumberFormat="1" applyFont="1" applyFill="1" applyBorder="1" applyAlignment="1">
      <alignment shrinkToFit="1"/>
    </xf>
    <xf numFmtId="165" fontId="13" fillId="0" borderId="21" xfId="0" applyNumberFormat="1" applyFont="1" applyFill="1" applyBorder="1" applyAlignment="1">
      <alignment shrinkToFit="1"/>
    </xf>
    <xf numFmtId="1" fontId="63" fillId="0" borderId="11" xfId="0" applyNumberFormat="1" applyFont="1" applyBorder="1" applyAlignment="1">
      <alignment shrinkToFit="1"/>
    </xf>
    <xf numFmtId="164" fontId="10" fillId="0" borderId="8" xfId="0" applyNumberFormat="1" applyFont="1" applyBorder="1" applyAlignment="1">
      <alignment shrinkToFit="1"/>
    </xf>
    <xf numFmtId="3" fontId="10" fillId="0" borderId="9" xfId="0" applyNumberFormat="1" applyFont="1" applyBorder="1" applyAlignment="1">
      <alignment shrinkToFit="1"/>
    </xf>
    <xf numFmtId="0" fontId="12" fillId="0" borderId="23" xfId="0" applyFont="1" applyBorder="1" applyAlignment="1">
      <alignment shrinkToFit="1"/>
    </xf>
    <xf numFmtId="2" fontId="12" fillId="0" borderId="24" xfId="0" applyNumberFormat="1" applyFont="1" applyBorder="1" applyAlignment="1">
      <alignment shrinkToFit="1"/>
    </xf>
    <xf numFmtId="0" fontId="12" fillId="0" borderId="26" xfId="0" applyFont="1" applyBorder="1" applyAlignment="1">
      <alignment shrinkToFit="1"/>
    </xf>
    <xf numFmtId="2" fontId="12" fillId="0" borderId="27" xfId="0" applyNumberFormat="1" applyFont="1" applyBorder="1" applyAlignment="1">
      <alignment shrinkToFit="1"/>
    </xf>
    <xf numFmtId="164" fontId="11" fillId="0" borderId="67" xfId="0" applyNumberFormat="1" applyFont="1" applyBorder="1" applyAlignment="1">
      <alignment shrinkToFit="1"/>
    </xf>
    <xf numFmtId="1" fontId="11" fillId="0" borderId="68" xfId="0" applyNumberFormat="1" applyFont="1" applyBorder="1" applyAlignment="1">
      <alignment shrinkToFit="1"/>
    </xf>
    <xf numFmtId="2" fontId="11" fillId="0" borderId="17" xfId="0" applyNumberFormat="1" applyFont="1" applyBorder="1" applyAlignment="1">
      <alignment shrinkToFit="1"/>
    </xf>
    <xf numFmtId="164" fontId="11" fillId="0" borderId="3" xfId="0" applyNumberFormat="1" applyFont="1" applyBorder="1" applyAlignment="1">
      <alignment shrinkToFit="1"/>
    </xf>
    <xf numFmtId="2" fontId="11" fillId="0" borderId="67" xfId="0" applyNumberFormat="1" applyFont="1" applyBorder="1" applyAlignment="1">
      <alignment shrinkToFit="1"/>
    </xf>
    <xf numFmtId="3" fontId="11" fillId="0" borderId="68" xfId="0" applyNumberFormat="1" applyFont="1" applyBorder="1" applyAlignment="1">
      <alignment shrinkToFit="1"/>
    </xf>
    <xf numFmtId="3" fontId="11" fillId="0" borderId="67" xfId="0" applyNumberFormat="1" applyFont="1" applyBorder="1" applyAlignment="1">
      <alignment shrinkToFit="1"/>
    </xf>
    <xf numFmtId="164" fontId="11" fillId="0" borderId="63" xfId="0" applyNumberFormat="1" applyFont="1" applyBorder="1"/>
    <xf numFmtId="1" fontId="11" fillId="0" borderId="62" xfId="0" applyNumberFormat="1" applyFont="1" applyBorder="1"/>
    <xf numFmtId="164" fontId="11" fillId="0" borderId="79" xfId="0" applyNumberFormat="1" applyFont="1" applyBorder="1"/>
    <xf numFmtId="1" fontId="11" fillId="0" borderId="78" xfId="0" applyNumberFormat="1" applyFont="1" applyBorder="1"/>
    <xf numFmtId="164" fontId="11" fillId="0" borderId="57" xfId="0" applyNumberFormat="1" applyFont="1" applyBorder="1"/>
    <xf numFmtId="2" fontId="11" fillId="0" borderId="63" xfId="0" applyNumberFormat="1" applyFont="1" applyBorder="1"/>
    <xf numFmtId="3" fontId="11" fillId="0" borderId="78" xfId="0" applyNumberFormat="1" applyFont="1" applyBorder="1"/>
    <xf numFmtId="0" fontId="13" fillId="0" borderId="23" xfId="0" applyFont="1" applyBorder="1" applyAlignment="1">
      <alignment shrinkToFit="1"/>
    </xf>
    <xf numFmtId="2" fontId="13" fillId="0" borderId="24" xfId="0" applyNumberFormat="1" applyFont="1" applyBorder="1" applyAlignment="1">
      <alignment shrinkToFit="1"/>
    </xf>
    <xf numFmtId="0" fontId="13" fillId="0" borderId="26" xfId="0" applyFont="1" applyBorder="1" applyAlignment="1">
      <alignment shrinkToFit="1"/>
    </xf>
    <xf numFmtId="164" fontId="13" fillId="0" borderId="21" xfId="0" applyNumberFormat="1" applyFont="1" applyBorder="1" applyAlignment="1">
      <alignment shrinkToFit="1"/>
    </xf>
    <xf numFmtId="2" fontId="13" fillId="0" borderId="27" xfId="0" applyNumberFormat="1" applyFont="1" applyBorder="1" applyAlignment="1">
      <alignment shrinkToFit="1"/>
    </xf>
    <xf numFmtId="164" fontId="63" fillId="0" borderId="9" xfId="0" applyNumberFormat="1" applyFont="1" applyBorder="1" applyAlignment="1">
      <alignment shrinkToFit="1"/>
    </xf>
    <xf numFmtId="1" fontId="44" fillId="0" borderId="11" xfId="0" applyNumberFormat="1" applyFont="1" applyBorder="1" applyAlignment="1">
      <alignment shrinkToFit="1"/>
    </xf>
    <xf numFmtId="164" fontId="44" fillId="0" borderId="9" xfId="0" applyNumberFormat="1" applyFont="1" applyBorder="1" applyAlignment="1">
      <alignment shrinkToFit="1"/>
    </xf>
    <xf numFmtId="166" fontId="8" fillId="4" borderId="16" xfId="0" applyNumberFormat="1" applyFont="1" applyFill="1" applyBorder="1" applyAlignment="1">
      <alignment vertical="center" shrinkToFit="1"/>
    </xf>
    <xf numFmtId="166" fontId="8" fillId="0" borderId="14" xfId="0" applyNumberFormat="1" applyFont="1" applyBorder="1" applyAlignment="1">
      <alignment vertical="center" shrinkToFit="1"/>
    </xf>
    <xf numFmtId="166" fontId="50" fillId="17" borderId="30" xfId="0" applyNumberFormat="1" applyFont="1" applyFill="1" applyBorder="1" applyAlignment="1">
      <alignment vertical="center" shrinkToFit="1"/>
    </xf>
    <xf numFmtId="2" fontId="10" fillId="0" borderId="8" xfId="0" applyNumberFormat="1" applyFont="1" applyFill="1" applyBorder="1" applyAlignment="1">
      <alignment shrinkToFit="1"/>
    </xf>
    <xf numFmtId="164" fontId="10" fillId="0" borderId="8" xfId="0" applyNumberFormat="1" applyFont="1" applyFill="1" applyBorder="1" applyAlignment="1">
      <alignment shrinkToFit="1"/>
    </xf>
    <xf numFmtId="166" fontId="10" fillId="0" borderId="0" xfId="0" applyNumberFormat="1" applyFont="1" applyFill="1" applyBorder="1" applyAlignment="1">
      <alignment horizontal="center" vertical="center"/>
    </xf>
    <xf numFmtId="166" fontId="10" fillId="17" borderId="0" xfId="0" applyNumberFormat="1" applyFont="1" applyFill="1" applyBorder="1" applyAlignment="1">
      <alignment horizontal="center" vertical="center"/>
    </xf>
    <xf numFmtId="166" fontId="10" fillId="35" borderId="0" xfId="0" applyNumberFormat="1" applyFont="1" applyFill="1" applyBorder="1"/>
    <xf numFmtId="166" fontId="10" fillId="0" borderId="0" xfId="0" applyNumberFormat="1" applyFont="1" applyFill="1" applyBorder="1"/>
    <xf numFmtId="166" fontId="12" fillId="0" borderId="48" xfId="0" applyNumberFormat="1" applyFont="1" applyFill="1" applyBorder="1" applyAlignment="1">
      <alignment horizontal="center" vertical="center" wrapText="1"/>
    </xf>
    <xf numFmtId="166" fontId="12" fillId="17" borderId="48" xfId="0" applyNumberFormat="1" applyFont="1" applyFill="1" applyBorder="1" applyAlignment="1">
      <alignment horizontal="center" vertical="center" wrapText="1"/>
    </xf>
    <xf numFmtId="166" fontId="12" fillId="35" borderId="48" xfId="0" applyNumberFormat="1" applyFont="1" applyFill="1" applyBorder="1" applyAlignment="1">
      <alignment horizontal="center" vertical="center" wrapText="1"/>
    </xf>
    <xf numFmtId="166" fontId="12" fillId="13" borderId="48" xfId="0" applyNumberFormat="1" applyFont="1" applyFill="1" applyBorder="1" applyAlignment="1">
      <alignment horizontal="center" vertical="center" wrapText="1"/>
    </xf>
    <xf numFmtId="166" fontId="12" fillId="14" borderId="48" xfId="0" applyNumberFormat="1" applyFont="1" applyFill="1" applyBorder="1" applyAlignment="1">
      <alignment horizontal="center" vertical="center" wrapText="1"/>
    </xf>
    <xf numFmtId="166" fontId="11" fillId="0" borderId="48" xfId="0" applyNumberFormat="1" applyFont="1" applyFill="1" applyBorder="1" applyAlignment="1">
      <alignment horizontal="center" vertical="center" wrapText="1"/>
    </xf>
    <xf numFmtId="166" fontId="11" fillId="13" borderId="48" xfId="0" applyNumberFormat="1" applyFont="1" applyFill="1" applyBorder="1" applyAlignment="1">
      <alignment horizontal="center" vertical="center" wrapText="1"/>
    </xf>
    <xf numFmtId="166" fontId="11" fillId="0" borderId="31" xfId="0" applyNumberFormat="1" applyFont="1" applyFill="1" applyBorder="1" applyAlignment="1">
      <alignment horizontal="center" vertical="center" wrapText="1"/>
    </xf>
    <xf numFmtId="166" fontId="11" fillId="0" borderId="8" xfId="0" applyNumberFormat="1" applyFont="1" applyFill="1" applyBorder="1" applyAlignment="1">
      <alignment horizontal="center" vertical="center" wrapText="1"/>
    </xf>
    <xf numFmtId="166" fontId="11" fillId="13" borderId="8" xfId="0" applyNumberFormat="1" applyFont="1" applyFill="1" applyBorder="1" applyAlignment="1">
      <alignment horizontal="center" vertical="center" wrapText="1"/>
    </xf>
    <xf numFmtId="166" fontId="12" fillId="14" borderId="8" xfId="0" applyNumberFormat="1" applyFont="1" applyFill="1" applyBorder="1" applyAlignment="1">
      <alignment horizontal="center" vertical="center" wrapText="1"/>
    </xf>
    <xf numFmtId="166" fontId="12" fillId="35" borderId="9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166" fontId="11" fillId="0" borderId="48" xfId="0" applyNumberFormat="1" applyFont="1" applyFill="1" applyBorder="1" applyAlignment="1">
      <alignment horizontal="right" vertical="center"/>
    </xf>
    <xf numFmtId="166" fontId="11" fillId="17" borderId="48" xfId="0" applyNumberFormat="1" applyFont="1" applyFill="1" applyBorder="1" applyAlignment="1">
      <alignment horizontal="right" vertical="center"/>
    </xf>
    <xf numFmtId="166" fontId="11" fillId="35" borderId="48" xfId="0" applyNumberFormat="1" applyFont="1" applyFill="1" applyBorder="1" applyAlignment="1">
      <alignment horizontal="right" vertical="center"/>
    </xf>
    <xf numFmtId="166" fontId="10" fillId="17" borderId="48" xfId="0" applyNumberFormat="1" applyFont="1" applyFill="1" applyBorder="1" applyAlignment="1">
      <alignment horizontal="left" vertical="center"/>
    </xf>
    <xf numFmtId="166" fontId="10" fillId="35" borderId="48" xfId="0" applyNumberFormat="1" applyFont="1" applyFill="1" applyBorder="1" applyAlignment="1">
      <alignment horizontal="right" vertical="center"/>
    </xf>
    <xf numFmtId="166" fontId="12" fillId="27" borderId="31" xfId="0" applyNumberFormat="1" applyFont="1" applyFill="1" applyBorder="1" applyAlignment="1">
      <alignment horizontal="left" vertical="center"/>
    </xf>
    <xf numFmtId="166" fontId="12" fillId="0" borderId="48" xfId="0" applyNumberFormat="1" applyFont="1" applyFill="1" applyBorder="1" applyAlignment="1">
      <alignment horizontal="left" vertical="center"/>
    </xf>
    <xf numFmtId="166" fontId="12" fillId="17" borderId="48" xfId="0" applyNumberFormat="1" applyFont="1" applyFill="1" applyBorder="1" applyAlignment="1">
      <alignment horizontal="left" vertical="center"/>
    </xf>
    <xf numFmtId="166" fontId="12" fillId="35" borderId="48" xfId="0" applyNumberFormat="1" applyFont="1" applyFill="1" applyBorder="1" applyAlignment="1">
      <alignment horizontal="left" vertical="center"/>
    </xf>
    <xf numFmtId="166" fontId="10" fillId="35" borderId="48" xfId="0" applyNumberFormat="1" applyFont="1" applyFill="1" applyBorder="1" applyAlignment="1">
      <alignment horizontal="left" vertical="center"/>
    </xf>
    <xf numFmtId="166" fontId="11" fillId="0" borderId="66" xfId="0" applyNumberFormat="1" applyFont="1" applyFill="1" applyBorder="1"/>
    <xf numFmtId="166" fontId="11" fillId="17" borderId="66" xfId="0" applyNumberFormat="1" applyFont="1" applyFill="1" applyBorder="1"/>
    <xf numFmtId="166" fontId="11" fillId="35" borderId="66" xfId="0" applyNumberFormat="1" applyFont="1" applyFill="1" applyBorder="1"/>
    <xf numFmtId="166" fontId="10" fillId="0" borderId="58" xfId="0" applyNumberFormat="1" applyFont="1" applyFill="1" applyBorder="1"/>
    <xf numFmtId="166" fontId="10" fillId="17" borderId="58" xfId="0" applyNumberFormat="1" applyFont="1" applyFill="1" applyBorder="1"/>
    <xf numFmtId="166" fontId="10" fillId="0" borderId="48" xfId="0" applyNumberFormat="1" applyFont="1" applyFill="1" applyBorder="1"/>
    <xf numFmtId="166" fontId="10" fillId="17" borderId="48" xfId="0" applyNumberFormat="1" applyFont="1" applyFill="1" applyBorder="1"/>
    <xf numFmtId="166" fontId="11" fillId="0" borderId="48" xfId="0" applyNumberFormat="1" applyFont="1" applyFill="1" applyBorder="1"/>
    <xf numFmtId="166" fontId="11" fillId="14" borderId="48" xfId="0" applyNumberFormat="1" applyFont="1" applyFill="1" applyBorder="1" applyAlignment="1">
      <alignment horizontal="right" vertical="center"/>
    </xf>
    <xf numFmtId="166" fontId="11" fillId="13" borderId="48" xfId="0" applyNumberFormat="1" applyFont="1" applyFill="1" applyBorder="1" applyAlignment="1">
      <alignment wrapText="1"/>
    </xf>
    <xf numFmtId="166" fontId="11" fillId="17" borderId="48" xfId="0" applyNumberFormat="1" applyFont="1" applyFill="1" applyBorder="1" applyAlignment="1">
      <alignment wrapText="1"/>
    </xf>
    <xf numFmtId="166" fontId="11" fillId="35" borderId="48" xfId="0" applyNumberFormat="1" applyFont="1" applyFill="1" applyBorder="1" applyAlignment="1">
      <alignment wrapText="1"/>
    </xf>
    <xf numFmtId="166" fontId="11" fillId="3" borderId="48" xfId="0" applyNumberFormat="1" applyFont="1" applyFill="1" applyBorder="1" applyAlignment="1">
      <alignment wrapText="1"/>
    </xf>
    <xf numFmtId="166" fontId="11" fillId="0" borderId="48" xfId="0" applyNumberFormat="1" applyFont="1" applyFill="1" applyBorder="1" applyAlignment="1">
      <alignment wrapText="1"/>
    </xf>
    <xf numFmtId="166" fontId="10" fillId="35" borderId="48" xfId="0" applyNumberFormat="1" applyFont="1" applyFill="1" applyBorder="1"/>
    <xf numFmtId="166" fontId="11" fillId="17" borderId="48" xfId="0" applyNumberFormat="1" applyFont="1" applyFill="1" applyBorder="1"/>
    <xf numFmtId="166" fontId="10" fillId="0" borderId="48" xfId="0" applyNumberFormat="1" applyFont="1" applyFill="1" applyBorder="1" applyAlignment="1">
      <alignment wrapText="1"/>
    </xf>
    <xf numFmtId="166" fontId="10" fillId="17" borderId="48" xfId="0" applyNumberFormat="1" applyFont="1" applyFill="1" applyBorder="1" applyAlignment="1">
      <alignment wrapText="1"/>
    </xf>
    <xf numFmtId="166" fontId="11" fillId="4" borderId="48" xfId="0" applyNumberFormat="1" applyFont="1" applyFill="1" applyBorder="1"/>
    <xf numFmtId="166" fontId="11" fillId="35" borderId="48" xfId="0" applyNumberFormat="1" applyFont="1" applyFill="1" applyBorder="1"/>
    <xf numFmtId="166" fontId="10" fillId="0" borderId="0" xfId="0" applyNumberFormat="1" applyFont="1" applyFill="1"/>
    <xf numFmtId="166" fontId="10" fillId="17" borderId="0" xfId="0" applyNumberFormat="1" applyFont="1" applyFill="1"/>
    <xf numFmtId="166" fontId="10" fillId="35" borderId="0" xfId="0" applyNumberFormat="1" applyFont="1" applyFill="1"/>
    <xf numFmtId="166" fontId="64" fillId="0" borderId="1" xfId="0" applyNumberFormat="1" applyFont="1" applyBorder="1" applyAlignment="1">
      <alignment vertical="center" shrinkToFit="1"/>
    </xf>
    <xf numFmtId="166" fontId="65" fillId="0" borderId="38" xfId="0" applyNumberFormat="1" applyFont="1" applyBorder="1" applyAlignment="1">
      <alignment vertical="center" shrinkToFit="1"/>
    </xf>
    <xf numFmtId="166" fontId="65" fillId="0" borderId="32" xfId="0" applyNumberFormat="1" applyFont="1" applyBorder="1" applyAlignment="1">
      <alignment vertical="center" shrinkToFit="1"/>
    </xf>
    <xf numFmtId="166" fontId="65" fillId="0" borderId="58" xfId="0" applyNumberFormat="1" applyFont="1" applyBorder="1" applyAlignment="1">
      <alignment vertical="center" shrinkToFit="1"/>
    </xf>
    <xf numFmtId="166" fontId="65" fillId="0" borderId="43" xfId="0" applyNumberFormat="1" applyFont="1" applyFill="1" applyBorder="1" applyAlignment="1">
      <alignment vertical="center" shrinkToFit="1"/>
    </xf>
    <xf numFmtId="166" fontId="65" fillId="0" borderId="0" xfId="0" applyNumberFormat="1" applyFont="1" applyFill="1" applyBorder="1" applyAlignment="1">
      <alignment vertical="center" shrinkToFit="1"/>
    </xf>
    <xf numFmtId="166" fontId="65" fillId="0" borderId="60" xfId="0" applyNumberFormat="1" applyFont="1" applyFill="1" applyBorder="1" applyAlignment="1">
      <alignment vertical="center" shrinkToFit="1"/>
    </xf>
    <xf numFmtId="165" fontId="41" fillId="0" borderId="31" xfId="0" applyNumberFormat="1" applyFont="1" applyBorder="1" applyAlignment="1"/>
    <xf numFmtId="166" fontId="64" fillId="4" borderId="36" xfId="0" applyNumberFormat="1" applyFont="1" applyFill="1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166" fontId="64" fillId="0" borderId="20" xfId="0" applyNumberFormat="1" applyFont="1" applyBorder="1" applyAlignment="1">
      <alignment vertical="center" shrinkToFit="1"/>
    </xf>
    <xf numFmtId="166" fontId="64" fillId="4" borderId="34" xfId="0" applyNumberFormat="1" applyFont="1" applyFill="1" applyBorder="1" applyAlignment="1">
      <alignment vertical="center" shrinkToFit="1"/>
    </xf>
    <xf numFmtId="166" fontId="11" fillId="0" borderId="14" xfId="0" applyNumberFormat="1" applyFont="1" applyBorder="1" applyAlignment="1">
      <alignment horizontal="center" vertical="center" wrapText="1"/>
    </xf>
    <xf numFmtId="166" fontId="11" fillId="14" borderId="14" xfId="0" applyNumberFormat="1" applyFont="1" applyFill="1" applyBorder="1" applyAlignment="1">
      <alignment vertical="center" wrapText="1"/>
    </xf>
    <xf numFmtId="166" fontId="11" fillId="0" borderId="34" xfId="0" applyNumberFormat="1" applyFont="1" applyBorder="1" applyAlignment="1">
      <alignment horizontal="center" vertical="center" wrapText="1"/>
    </xf>
    <xf numFmtId="166" fontId="11" fillId="14" borderId="15" xfId="0" applyNumberFormat="1" applyFont="1" applyFill="1" applyBorder="1" applyAlignment="1">
      <alignment horizontal="center" vertical="center" wrapText="1"/>
    </xf>
    <xf numFmtId="166" fontId="11" fillId="0" borderId="26" xfId="0" applyNumberFormat="1" applyFont="1" applyBorder="1" applyAlignment="1">
      <alignment horizontal="center" vertical="center" wrapText="1"/>
    </xf>
    <xf numFmtId="166" fontId="11" fillId="0" borderId="56" xfId="0" applyNumberFormat="1" applyFont="1" applyBorder="1" applyAlignment="1">
      <alignment horizontal="center" vertical="center" wrapText="1"/>
    </xf>
    <xf numFmtId="166" fontId="11" fillId="14" borderId="24" xfId="0" applyNumberFormat="1" applyFont="1" applyFill="1" applyBorder="1" applyAlignment="1">
      <alignment vertical="center" wrapText="1"/>
    </xf>
    <xf numFmtId="166" fontId="11" fillId="0" borderId="23" xfId="0" applyNumberFormat="1" applyFont="1" applyBorder="1" applyAlignment="1">
      <alignment horizontal="center" vertical="center" wrapText="1"/>
    </xf>
    <xf numFmtId="166" fontId="11" fillId="0" borderId="27" xfId="0" applyNumberFormat="1" applyFont="1" applyBorder="1" applyAlignment="1">
      <alignment horizontal="center" vertical="center" wrapText="1"/>
    </xf>
    <xf numFmtId="166" fontId="11" fillId="14" borderId="15" xfId="0" applyNumberFormat="1" applyFont="1" applyFill="1" applyBorder="1" applyAlignment="1">
      <alignment vertical="center" wrapText="1"/>
    </xf>
    <xf numFmtId="166" fontId="11" fillId="0" borderId="35" xfId="0" applyNumberFormat="1" applyFont="1" applyFill="1" applyBorder="1" applyAlignment="1">
      <alignment horizontal="center" vertical="center" wrapText="1"/>
    </xf>
    <xf numFmtId="166" fontId="11" fillId="0" borderId="14" xfId="0" applyNumberFormat="1" applyFont="1" applyFill="1" applyBorder="1" applyAlignment="1">
      <alignment horizontal="center" vertical="center" wrapText="1"/>
    </xf>
    <xf numFmtId="166" fontId="11" fillId="0" borderId="57" xfId="0" applyNumberFormat="1" applyFont="1" applyFill="1" applyBorder="1" applyAlignment="1">
      <alignment horizontal="center" vertical="center" wrapText="1"/>
    </xf>
    <xf numFmtId="166" fontId="9" fillId="14" borderId="35" xfId="0" applyNumberFormat="1" applyFont="1" applyFill="1" applyBorder="1" applyAlignment="1">
      <alignment vertical="center" wrapText="1"/>
    </xf>
    <xf numFmtId="166" fontId="11" fillId="0" borderId="69" xfId="0" applyNumberFormat="1" applyFont="1" applyBorder="1" applyAlignment="1">
      <alignment horizontal="center" vertical="center" wrapText="1"/>
    </xf>
    <xf numFmtId="166" fontId="8" fillId="0" borderId="70" xfId="0" applyNumberFormat="1" applyFont="1" applyBorder="1" applyAlignment="1">
      <alignment vertical="center"/>
    </xf>
    <xf numFmtId="166" fontId="8" fillId="0" borderId="47" xfId="0" applyNumberFormat="1" applyFont="1" applyBorder="1" applyAlignment="1">
      <alignment vertical="center"/>
    </xf>
    <xf numFmtId="166" fontId="8" fillId="0" borderId="35" xfId="0" applyNumberFormat="1" applyFont="1" applyBorder="1" applyAlignment="1">
      <alignment vertical="center"/>
    </xf>
    <xf numFmtId="166" fontId="8" fillId="0" borderId="40" xfId="0" applyNumberFormat="1" applyFont="1" applyBorder="1" applyAlignment="1">
      <alignment vertical="center"/>
    </xf>
    <xf numFmtId="166" fontId="37" fillId="0" borderId="15" xfId="0" applyNumberFormat="1" applyFont="1" applyBorder="1" applyAlignment="1">
      <alignment vertical="center"/>
    </xf>
    <xf numFmtId="166" fontId="11" fillId="0" borderId="16" xfId="0" applyNumberFormat="1" applyFont="1" applyBorder="1" applyAlignment="1">
      <alignment horizontal="left" vertical="center" wrapText="1"/>
    </xf>
    <xf numFmtId="166" fontId="8" fillId="0" borderId="15" xfId="0" applyNumberFormat="1" applyFont="1" applyBorder="1" applyAlignment="1">
      <alignment vertical="center" shrinkToFit="1"/>
    </xf>
    <xf numFmtId="166" fontId="8" fillId="0" borderId="37" xfId="0" applyNumberFormat="1" applyFont="1" applyBorder="1" applyAlignment="1">
      <alignment vertical="center" shrinkToFit="1"/>
    </xf>
    <xf numFmtId="166" fontId="8" fillId="0" borderId="16" xfId="0" applyNumberFormat="1" applyFont="1" applyBorder="1" applyAlignment="1">
      <alignment vertical="center" shrinkToFit="1"/>
    </xf>
    <xf numFmtId="166" fontId="8" fillId="0" borderId="2" xfId="0" applyNumberFormat="1" applyFont="1" applyBorder="1" applyAlignment="1">
      <alignment vertical="center" shrinkToFit="1"/>
    </xf>
    <xf numFmtId="166" fontId="8" fillId="0" borderId="66" xfId="0" applyNumberFormat="1" applyFont="1" applyBorder="1" applyAlignment="1">
      <alignment vertical="center" shrinkToFit="1"/>
    </xf>
    <xf numFmtId="166" fontId="8" fillId="0" borderId="35" xfId="0" applyNumberFormat="1" applyFont="1" applyBorder="1" applyAlignment="1">
      <alignment vertical="center" shrinkToFit="1"/>
    </xf>
    <xf numFmtId="166" fontId="10" fillId="0" borderId="32" xfId="0" applyNumberFormat="1" applyFont="1" applyBorder="1" applyAlignment="1">
      <alignment horizontal="left" vertical="center" wrapText="1"/>
    </xf>
    <xf numFmtId="166" fontId="9" fillId="0" borderId="39" xfId="0" applyNumberFormat="1" applyFont="1" applyBorder="1" applyAlignment="1">
      <alignment vertical="center" shrinkToFit="1"/>
    </xf>
    <xf numFmtId="166" fontId="10" fillId="0" borderId="30" xfId="0" applyNumberFormat="1" applyFont="1" applyBorder="1" applyAlignment="1">
      <alignment horizontal="left" vertical="center" wrapText="1"/>
    </xf>
    <xf numFmtId="166" fontId="8" fillId="0" borderId="8" xfId="0" applyNumberFormat="1" applyFont="1" applyFill="1" applyBorder="1" applyAlignment="1">
      <alignment vertical="center" shrinkToFit="1"/>
    </xf>
    <xf numFmtId="166" fontId="8" fillId="0" borderId="30" xfId="0" applyNumberFormat="1" applyFont="1" applyBorder="1" applyAlignment="1">
      <alignment horizontal="left"/>
    </xf>
    <xf numFmtId="166" fontId="8" fillId="0" borderId="59" xfId="0" applyNumberFormat="1" applyFont="1" applyBorder="1" applyAlignment="1">
      <alignment horizontal="left"/>
    </xf>
    <xf numFmtId="166" fontId="8" fillId="0" borderId="51" xfId="0" applyNumberFormat="1" applyFont="1" applyBorder="1" applyAlignment="1">
      <alignment horizontal="left"/>
    </xf>
    <xf numFmtId="166" fontId="10" fillId="0" borderId="30" xfId="0" applyNumberFormat="1" applyFont="1" applyFill="1" applyBorder="1" applyAlignment="1">
      <alignment horizontal="left" vertical="center" wrapText="1"/>
    </xf>
    <xf numFmtId="166" fontId="8" fillId="0" borderId="9" xfId="0" applyNumberFormat="1" applyFont="1" applyFill="1" applyBorder="1" applyAlignment="1">
      <alignment vertical="center" shrinkToFit="1"/>
    </xf>
    <xf numFmtId="166" fontId="8" fillId="0" borderId="30" xfId="0" applyNumberFormat="1" applyFont="1" applyFill="1" applyBorder="1" applyAlignment="1">
      <alignment vertical="center" shrinkToFit="1"/>
    </xf>
    <xf numFmtId="166" fontId="8" fillId="0" borderId="31" xfId="0" applyNumberFormat="1" applyFont="1" applyFill="1" applyBorder="1" applyAlignment="1">
      <alignment vertical="center" shrinkToFit="1"/>
    </xf>
    <xf numFmtId="166" fontId="11" fillId="0" borderId="30" xfId="0" applyNumberFormat="1" applyFont="1" applyFill="1" applyBorder="1" applyAlignment="1">
      <alignment vertical="center" wrapText="1"/>
    </xf>
    <xf numFmtId="166" fontId="9" fillId="0" borderId="30" xfId="0" applyNumberFormat="1" applyFont="1" applyFill="1" applyBorder="1" applyAlignment="1">
      <alignment vertical="center" shrinkToFit="1"/>
    </xf>
    <xf numFmtId="166" fontId="10" fillId="0" borderId="30" xfId="0" applyNumberFormat="1" applyFont="1" applyFill="1" applyBorder="1" applyAlignment="1">
      <alignment vertical="center" wrapText="1"/>
    </xf>
    <xf numFmtId="166" fontId="8" fillId="0" borderId="58" xfId="0" applyNumberFormat="1" applyFont="1" applyFill="1" applyBorder="1" applyAlignment="1">
      <alignment vertical="center" shrinkToFit="1"/>
    </xf>
    <xf numFmtId="166" fontId="10" fillId="0" borderId="33" xfId="0" applyNumberFormat="1" applyFont="1" applyFill="1" applyBorder="1" applyAlignment="1">
      <alignment vertical="center" wrapText="1"/>
    </xf>
    <xf numFmtId="166" fontId="10" fillId="0" borderId="33" xfId="0" applyNumberFormat="1" applyFont="1" applyBorder="1" applyAlignment="1">
      <alignment vertical="center" wrapText="1"/>
    </xf>
    <xf numFmtId="166" fontId="9" fillId="0" borderId="22" xfId="0" applyNumberFormat="1" applyFont="1" applyBorder="1" applyAlignment="1">
      <alignment vertical="center" shrinkToFit="1"/>
    </xf>
    <xf numFmtId="166" fontId="8" fillId="0" borderId="69" xfId="0" applyNumberFormat="1" applyFont="1" applyBorder="1" applyAlignment="1">
      <alignment vertical="center" shrinkToFit="1"/>
    </xf>
    <xf numFmtId="166" fontId="8" fillId="0" borderId="60" xfId="0" applyNumberFormat="1" applyFont="1" applyBorder="1" applyAlignment="1">
      <alignment vertical="center" shrinkToFit="1"/>
    </xf>
    <xf numFmtId="166" fontId="24" fillId="8" borderId="16" xfId="0" applyNumberFormat="1" applyFont="1" applyFill="1" applyBorder="1" applyAlignment="1">
      <alignment vertical="center" wrapText="1"/>
    </xf>
    <xf numFmtId="166" fontId="9" fillId="8" borderId="15" xfId="0" applyNumberFormat="1" applyFont="1" applyFill="1" applyBorder="1" applyAlignment="1">
      <alignment vertical="center" shrinkToFit="1"/>
    </xf>
    <xf numFmtId="166" fontId="9" fillId="8" borderId="68" xfId="0" applyNumberFormat="1" applyFont="1" applyFill="1" applyBorder="1" applyAlignment="1">
      <alignment vertical="center" shrinkToFit="1"/>
    </xf>
    <xf numFmtId="166" fontId="9" fillId="8" borderId="66" xfId="0" applyNumberFormat="1" applyFont="1" applyFill="1" applyBorder="1" applyAlignment="1">
      <alignment vertical="center" shrinkToFit="1"/>
    </xf>
    <xf numFmtId="166" fontId="9" fillId="8" borderId="67" xfId="0" applyNumberFormat="1" applyFont="1" applyFill="1" applyBorder="1" applyAlignment="1">
      <alignment vertical="center" shrinkToFit="1"/>
    </xf>
    <xf numFmtId="166" fontId="9" fillId="8" borderId="16" xfId="0" applyNumberFormat="1" applyFont="1" applyFill="1" applyBorder="1" applyAlignment="1">
      <alignment vertical="center" shrinkToFit="1"/>
    </xf>
    <xf numFmtId="166" fontId="9" fillId="8" borderId="37" xfId="0" applyNumberFormat="1" applyFont="1" applyFill="1" applyBorder="1" applyAlignment="1">
      <alignment vertical="center" shrinkToFit="1"/>
    </xf>
    <xf numFmtId="166" fontId="9" fillId="8" borderId="3" xfId="0" applyNumberFormat="1" applyFont="1" applyFill="1" applyBorder="1" applyAlignment="1">
      <alignment vertical="center" shrinkToFit="1"/>
    </xf>
    <xf numFmtId="166" fontId="9" fillId="8" borderId="34" xfId="0" applyNumberFormat="1" applyFont="1" applyFill="1" applyBorder="1" applyAlignment="1">
      <alignment vertical="center" shrinkToFit="1"/>
    </xf>
    <xf numFmtId="166" fontId="9" fillId="8" borderId="54" xfId="0" applyNumberFormat="1" applyFont="1" applyFill="1" applyBorder="1" applyAlignment="1">
      <alignment vertical="center" shrinkToFit="1"/>
    </xf>
    <xf numFmtId="166" fontId="26" fillId="5" borderId="16" xfId="0" applyNumberFormat="1" applyFont="1" applyFill="1" applyBorder="1" applyAlignment="1">
      <alignment horizontal="left" vertical="center" wrapText="1"/>
    </xf>
    <xf numFmtId="166" fontId="8" fillId="5" borderId="15" xfId="0" applyNumberFormat="1" applyFont="1" applyFill="1" applyBorder="1" applyAlignment="1">
      <alignment vertical="center" shrinkToFit="1"/>
    </xf>
    <xf numFmtId="166" fontId="8" fillId="5" borderId="37" xfId="0" applyNumberFormat="1" applyFont="1" applyFill="1" applyBorder="1" applyAlignment="1">
      <alignment vertical="center" shrinkToFit="1"/>
    </xf>
    <xf numFmtId="166" fontId="8" fillId="5" borderId="67" xfId="0" applyNumberFormat="1" applyFont="1" applyFill="1" applyBorder="1" applyAlignment="1">
      <alignment vertical="center" shrinkToFit="1"/>
    </xf>
    <xf numFmtId="166" fontId="8" fillId="5" borderId="16" xfId="0" applyNumberFormat="1" applyFont="1" applyFill="1" applyBorder="1" applyAlignment="1">
      <alignment vertical="center" shrinkToFit="1"/>
    </xf>
    <xf numFmtId="166" fontId="8" fillId="5" borderId="66" xfId="0" applyNumberFormat="1" applyFont="1" applyFill="1" applyBorder="1" applyAlignment="1">
      <alignment vertical="center" shrinkToFit="1"/>
    </xf>
    <xf numFmtId="166" fontId="8" fillId="5" borderId="3" xfId="0" applyNumberFormat="1" applyFont="1" applyFill="1" applyBorder="1" applyAlignment="1">
      <alignment vertical="center" shrinkToFit="1"/>
    </xf>
    <xf numFmtId="166" fontId="8" fillId="0" borderId="34" xfId="0" applyNumberFormat="1" applyFont="1" applyFill="1" applyBorder="1" applyAlignment="1">
      <alignment vertical="center" shrinkToFit="1"/>
    </xf>
    <xf numFmtId="166" fontId="8" fillId="0" borderId="36" xfId="0" applyNumberFormat="1" applyFont="1" applyFill="1" applyBorder="1" applyAlignment="1">
      <alignment vertical="center" shrinkToFit="1"/>
    </xf>
    <xf numFmtId="166" fontId="8" fillId="0" borderId="54" xfId="0" applyNumberFormat="1" applyFont="1" applyFill="1" applyBorder="1" applyAlignment="1">
      <alignment vertical="center" shrinkToFit="1"/>
    </xf>
    <xf numFmtId="166" fontId="8" fillId="0" borderId="65" xfId="0" applyNumberFormat="1" applyFont="1" applyFill="1" applyBorder="1" applyAlignment="1">
      <alignment vertical="center" shrinkToFit="1"/>
    </xf>
    <xf numFmtId="166" fontId="8" fillId="0" borderId="40" xfId="0" applyNumberFormat="1" applyFont="1" applyFill="1" applyBorder="1" applyAlignment="1">
      <alignment vertical="center" shrinkToFit="1"/>
    </xf>
    <xf numFmtId="166" fontId="24" fillId="5" borderId="43" xfId="0" applyNumberFormat="1" applyFont="1" applyFill="1" applyBorder="1" applyAlignment="1">
      <alignment horizontal="left" vertical="center" wrapText="1"/>
    </xf>
    <xf numFmtId="166" fontId="8" fillId="5" borderId="44" xfId="0" applyNumberFormat="1" applyFont="1" applyFill="1" applyBorder="1" applyAlignment="1">
      <alignment vertical="center" shrinkToFit="1"/>
    </xf>
    <xf numFmtId="166" fontId="8" fillId="5" borderId="71" xfId="0" applyNumberFormat="1" applyFont="1" applyFill="1" applyBorder="1" applyAlignment="1">
      <alignment vertical="center" shrinkToFit="1"/>
    </xf>
    <xf numFmtId="166" fontId="8" fillId="5" borderId="0" xfId="0" applyNumberFormat="1" applyFont="1" applyFill="1" applyBorder="1" applyAlignment="1">
      <alignment vertical="center" shrinkToFit="1"/>
    </xf>
    <xf numFmtId="166" fontId="9" fillId="5" borderId="43" xfId="0" applyNumberFormat="1" applyFont="1" applyFill="1" applyBorder="1" applyAlignment="1">
      <alignment vertical="center" shrinkToFit="1"/>
    </xf>
    <xf numFmtId="166" fontId="8" fillId="5" borderId="59" xfId="0" applyNumberFormat="1" applyFont="1" applyFill="1" applyBorder="1" applyAlignment="1">
      <alignment vertical="center" shrinkToFit="1"/>
    </xf>
    <xf numFmtId="166" fontId="8" fillId="5" borderId="69" xfId="0" applyNumberFormat="1" applyFont="1" applyFill="1" applyBorder="1" applyAlignment="1">
      <alignment vertical="center" shrinkToFit="1"/>
    </xf>
    <xf numFmtId="166" fontId="8" fillId="5" borderId="77" xfId="0" applyNumberFormat="1" applyFont="1" applyFill="1" applyBorder="1" applyAlignment="1">
      <alignment vertical="center" shrinkToFit="1"/>
    </xf>
    <xf numFmtId="166" fontId="8" fillId="5" borderId="49" xfId="0" applyNumberFormat="1" applyFont="1" applyFill="1" applyBorder="1" applyAlignment="1">
      <alignment vertical="center" shrinkToFit="1"/>
    </xf>
    <xf numFmtId="166" fontId="8" fillId="5" borderId="60" xfId="0" applyNumberFormat="1" applyFont="1" applyFill="1" applyBorder="1" applyAlignment="1">
      <alignment vertical="center" shrinkToFit="1"/>
    </xf>
    <xf numFmtId="166" fontId="8" fillId="5" borderId="43" xfId="0" applyNumberFormat="1" applyFont="1" applyFill="1" applyBorder="1" applyAlignment="1">
      <alignment vertical="center" shrinkToFit="1"/>
    </xf>
    <xf numFmtId="166" fontId="8" fillId="5" borderId="20" xfId="0" applyNumberFormat="1" applyFont="1" applyFill="1" applyBorder="1" applyAlignment="1">
      <alignment vertical="center" shrinkToFit="1"/>
    </xf>
    <xf numFmtId="166" fontId="8" fillId="4" borderId="53" xfId="0" applyNumberFormat="1" applyFont="1" applyFill="1" applyBorder="1" applyAlignment="1">
      <alignment vertical="center" shrinkToFit="1"/>
    </xf>
    <xf numFmtId="166" fontId="8" fillId="4" borderId="14" xfId="0" applyNumberFormat="1" applyFont="1" applyFill="1" applyBorder="1" applyAlignment="1">
      <alignment vertical="center" shrinkToFit="1"/>
    </xf>
    <xf numFmtId="166" fontId="8" fillId="4" borderId="70" xfId="0" applyNumberFormat="1" applyFont="1" applyFill="1" applyBorder="1" applyAlignment="1">
      <alignment vertical="center" shrinkToFit="1"/>
    </xf>
    <xf numFmtId="166" fontId="8" fillId="4" borderId="47" xfId="0" applyNumberFormat="1" applyFont="1" applyFill="1" applyBorder="1" applyAlignment="1">
      <alignment vertical="center" shrinkToFit="1"/>
    </xf>
    <xf numFmtId="166" fontId="10" fillId="0" borderId="0" xfId="0" applyNumberFormat="1" applyFont="1" applyAlignment="1">
      <alignment vertical="center" wrapText="1"/>
    </xf>
    <xf numFmtId="166" fontId="8" fillId="0" borderId="0" xfId="0" applyNumberFormat="1" applyFont="1" applyAlignment="1">
      <alignment vertical="center" shrinkToFit="1"/>
    </xf>
    <xf numFmtId="166" fontId="9" fillId="0" borderId="0" xfId="0" applyNumberFormat="1" applyFont="1" applyAlignment="1">
      <alignment vertical="center" shrinkToFit="1"/>
    </xf>
    <xf numFmtId="3" fontId="3" fillId="0" borderId="7" xfId="1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/>
    </xf>
    <xf numFmtId="2" fontId="2" fillId="11" borderId="1" xfId="1" applyNumberFormat="1" applyFont="1" applyFill="1" applyBorder="1" applyAlignment="1">
      <alignment horizontal="right"/>
    </xf>
    <xf numFmtId="2" fontId="2" fillId="0" borderId="1" xfId="1" applyNumberFormat="1" applyFont="1" applyBorder="1" applyAlignment="1">
      <alignment horizontal="right"/>
    </xf>
    <xf numFmtId="2" fontId="2" fillId="0" borderId="52" xfId="1" applyNumberFormat="1" applyFont="1" applyBorder="1" applyAlignment="1">
      <alignment horizontal="right"/>
    </xf>
    <xf numFmtId="166" fontId="18" fillId="0" borderId="1" xfId="1" applyNumberFormat="1" applyFont="1" applyFill="1" applyBorder="1" applyAlignment="1">
      <alignment horizontal="right"/>
    </xf>
    <xf numFmtId="2" fontId="10" fillId="0" borderId="1" xfId="1" applyNumberFormat="1" applyFont="1" applyBorder="1"/>
    <xf numFmtId="2" fontId="10" fillId="0" borderId="1" xfId="1" applyNumberFormat="1" applyFont="1" applyBorder="1" applyAlignment="1">
      <alignment horizontal="left" vertical="center"/>
    </xf>
    <xf numFmtId="3" fontId="44" fillId="0" borderId="11" xfId="0" applyNumberFormat="1" applyFont="1" applyBorder="1" applyAlignment="1">
      <alignment shrinkToFit="1"/>
    </xf>
    <xf numFmtId="3" fontId="11" fillId="0" borderId="23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shrinkToFit="1"/>
    </xf>
    <xf numFmtId="3" fontId="10" fillId="0" borderId="16" xfId="0" applyNumberFormat="1" applyFont="1" applyBorder="1" applyAlignment="1">
      <alignment shrinkToFit="1"/>
    </xf>
    <xf numFmtId="3" fontId="11" fillId="0" borderId="78" xfId="0" applyNumberFormat="1" applyFont="1" applyBorder="1" applyAlignment="1">
      <alignment horizontal="center"/>
    </xf>
    <xf numFmtId="3" fontId="10" fillId="0" borderId="26" xfId="0" applyNumberFormat="1" applyFont="1" applyBorder="1"/>
    <xf numFmtId="3" fontId="10" fillId="0" borderId="31" xfId="0" applyNumberFormat="1" applyFont="1" applyBorder="1" applyAlignment="1"/>
    <xf numFmtId="3" fontId="10" fillId="0" borderId="31" xfId="0" applyNumberFormat="1" applyFont="1" applyBorder="1" applyAlignment="1">
      <alignment shrinkToFit="1"/>
    </xf>
    <xf numFmtId="3" fontId="10" fillId="0" borderId="48" xfId="0" applyNumberFormat="1" applyFont="1" applyFill="1" applyBorder="1" applyAlignment="1">
      <alignment shrinkToFit="1"/>
    </xf>
    <xf numFmtId="3" fontId="10" fillId="0" borderId="48" xfId="0" applyNumberFormat="1" applyFont="1" applyBorder="1" applyAlignment="1">
      <alignment shrinkToFit="1"/>
    </xf>
    <xf numFmtId="3" fontId="11" fillId="0" borderId="31" xfId="0" applyNumberFormat="1" applyFont="1" applyBorder="1" applyAlignment="1">
      <alignment shrinkToFit="1"/>
    </xf>
    <xf numFmtId="3" fontId="10" fillId="0" borderId="31" xfId="0" applyNumberFormat="1" applyFont="1" applyBorder="1" applyAlignment="1">
      <alignment horizontal="center"/>
    </xf>
    <xf numFmtId="3" fontId="12" fillId="0" borderId="31" xfId="0" applyNumberFormat="1" applyFont="1" applyBorder="1" applyAlignment="1"/>
    <xf numFmtId="3" fontId="11" fillId="0" borderId="31" xfId="0" applyNumberFormat="1" applyFont="1" applyBorder="1" applyAlignment="1"/>
    <xf numFmtId="3" fontId="13" fillId="0" borderId="31" xfId="0" applyNumberFormat="1" applyFont="1" applyBorder="1" applyAlignment="1"/>
    <xf numFmtId="3" fontId="11" fillId="0" borderId="48" xfId="0" applyNumberFormat="1" applyFont="1" applyBorder="1" applyAlignment="1"/>
    <xf numFmtId="3" fontId="11" fillId="0" borderId="0" xfId="0" applyNumberFormat="1" applyFont="1" applyBorder="1" applyAlignment="1"/>
    <xf numFmtId="1" fontId="10" fillId="0" borderId="1" xfId="0" applyNumberFormat="1" applyFont="1" applyBorder="1" applyAlignment="1">
      <alignment shrinkToFit="1"/>
    </xf>
    <xf numFmtId="1" fontId="11" fillId="0" borderId="18" xfId="0" applyNumberFormat="1" applyFont="1" applyBorder="1"/>
    <xf numFmtId="164" fontId="11" fillId="0" borderId="19" xfId="0" applyNumberFormat="1" applyFont="1" applyBorder="1"/>
    <xf numFmtId="3" fontId="13" fillId="0" borderId="78" xfId="0" applyNumberFormat="1" applyFont="1" applyBorder="1" applyAlignment="1">
      <alignment shrinkToFit="1"/>
    </xf>
    <xf numFmtId="3" fontId="13" fillId="0" borderId="79" xfId="0" applyNumberFormat="1" applyFont="1" applyBorder="1" applyAlignment="1">
      <alignment shrinkToFit="1"/>
    </xf>
    <xf numFmtId="3" fontId="11" fillId="0" borderId="18" xfId="0" applyNumberFormat="1" applyFont="1" applyBorder="1" applyAlignment="1">
      <alignment shrinkToFit="1"/>
    </xf>
    <xf numFmtId="3" fontId="11" fillId="0" borderId="74" xfId="0" applyNumberFormat="1" applyFont="1" applyBorder="1" applyAlignment="1">
      <alignment shrinkToFit="1"/>
    </xf>
    <xf numFmtId="166" fontId="48" fillId="0" borderId="31" xfId="0" applyNumberFormat="1" applyFont="1" applyBorder="1" applyAlignment="1"/>
    <xf numFmtId="166" fontId="12" fillId="0" borderId="31" xfId="0" applyNumberFormat="1" applyFont="1" applyBorder="1"/>
    <xf numFmtId="166" fontId="10" fillId="0" borderId="48" xfId="0" applyNumberFormat="1" applyFont="1" applyBorder="1"/>
    <xf numFmtId="166" fontId="33" fillId="0" borderId="31" xfId="0" applyNumberFormat="1" applyFont="1" applyBorder="1" applyAlignment="1"/>
    <xf numFmtId="166" fontId="10" fillId="0" borderId="48" xfId="0" applyNumberFormat="1" applyFont="1" applyBorder="1" applyAlignment="1">
      <alignment shrinkToFit="1"/>
    </xf>
    <xf numFmtId="166" fontId="66" fillId="0" borderId="48" xfId="0" applyNumberFormat="1" applyFont="1" applyFill="1" applyBorder="1" applyAlignment="1">
      <alignment horizontal="left" vertical="center"/>
    </xf>
    <xf numFmtId="166" fontId="66" fillId="17" borderId="48" xfId="0" applyNumberFormat="1" applyFont="1" applyFill="1" applyBorder="1" applyAlignment="1">
      <alignment horizontal="left" vertical="center"/>
    </xf>
    <xf numFmtId="166" fontId="66" fillId="35" borderId="48" xfId="0" applyNumberFormat="1" applyFont="1" applyFill="1" applyBorder="1" applyAlignment="1">
      <alignment horizontal="left" vertical="center"/>
    </xf>
    <xf numFmtId="166" fontId="66" fillId="27" borderId="31" xfId="0" applyNumberFormat="1" applyFont="1" applyFill="1" applyBorder="1" applyAlignment="1">
      <alignment horizontal="left" vertical="center"/>
    </xf>
    <xf numFmtId="166" fontId="67" fillId="28" borderId="48" xfId="0" applyNumberFormat="1" applyFont="1" applyFill="1" applyBorder="1" applyAlignment="1">
      <alignment horizontal="right" vertical="center"/>
    </xf>
    <xf numFmtId="166" fontId="68" fillId="0" borderId="8" xfId="0" applyNumberFormat="1" applyFont="1" applyBorder="1" applyAlignment="1">
      <alignment vertical="center" shrinkToFit="1"/>
    </xf>
    <xf numFmtId="166" fontId="44" fillId="0" borderId="48" xfId="0" applyNumberFormat="1" applyFont="1" applyFill="1" applyBorder="1" applyAlignment="1">
      <alignment horizontal="left" vertical="center"/>
    </xf>
    <xf numFmtId="166" fontId="68" fillId="0" borderId="7" xfId="0" applyNumberFormat="1" applyFont="1" applyBorder="1" applyAlignment="1">
      <alignment vertical="center" shrinkToFit="1"/>
    </xf>
    <xf numFmtId="166" fontId="68" fillId="0" borderId="9" xfId="0" applyNumberFormat="1" applyFont="1" applyBorder="1" applyAlignment="1">
      <alignment vertical="center" shrinkToFit="1"/>
    </xf>
    <xf numFmtId="1" fontId="48" fillId="0" borderId="31" xfId="0" applyNumberFormat="1" applyFont="1" applyBorder="1" applyAlignment="1"/>
    <xf numFmtId="165" fontId="54" fillId="3" borderId="48" xfId="0" applyNumberFormat="1" applyFont="1" applyFill="1" applyBorder="1" applyAlignment="1">
      <alignment wrapText="1"/>
    </xf>
    <xf numFmtId="166" fontId="69" fillId="0" borderId="32" xfId="0" applyNumberFormat="1" applyFont="1" applyFill="1" applyBorder="1" applyAlignment="1">
      <alignment vertical="center" shrinkToFit="1"/>
    </xf>
    <xf numFmtId="166" fontId="68" fillId="0" borderId="59" xfId="0" applyNumberFormat="1" applyFont="1" applyBorder="1" applyAlignment="1">
      <alignment vertical="center" shrinkToFit="1"/>
    </xf>
    <xf numFmtId="166" fontId="71" fillId="0" borderId="39" xfId="0" applyNumberFormat="1" applyFont="1" applyBorder="1"/>
    <xf numFmtId="166" fontId="72" fillId="13" borderId="7" xfId="0" applyNumberFormat="1" applyFont="1" applyFill="1" applyBorder="1"/>
    <xf numFmtId="166" fontId="68" fillId="0" borderId="58" xfId="0" applyNumberFormat="1" applyFont="1" applyBorder="1" applyAlignment="1">
      <alignment vertical="center" shrinkToFit="1"/>
    </xf>
    <xf numFmtId="166" fontId="71" fillId="0" borderId="4" xfId="0" applyNumberFormat="1" applyFont="1" applyBorder="1"/>
    <xf numFmtId="166" fontId="72" fillId="0" borderId="44" xfId="0" applyNumberFormat="1" applyFont="1" applyBorder="1"/>
    <xf numFmtId="4" fontId="3" fillId="0" borderId="0" xfId="0" applyNumberFormat="1" applyFont="1"/>
    <xf numFmtId="4" fontId="5" fillId="0" borderId="44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 wrapText="1"/>
    </xf>
    <xf numFmtId="4" fontId="3" fillId="0" borderId="1" xfId="0" applyNumberFormat="1" applyFont="1" applyBorder="1"/>
    <xf numFmtId="4" fontId="2" fillId="0" borderId="7" xfId="0" applyNumberFormat="1" applyFont="1" applyBorder="1" applyAlignment="1">
      <alignment horizontal="center" vertical="center" wrapText="1"/>
    </xf>
    <xf numFmtId="4" fontId="3" fillId="0" borderId="7" xfId="0" applyNumberFormat="1" applyFont="1" applyBorder="1"/>
    <xf numFmtId="4" fontId="6" fillId="0" borderId="7" xfId="0" applyNumberFormat="1" applyFont="1" applyBorder="1" applyAlignment="1">
      <alignment horizontal="left"/>
    </xf>
    <xf numFmtId="4" fontId="2" fillId="0" borderId="7" xfId="0" applyNumberFormat="1" applyFont="1" applyBorder="1"/>
    <xf numFmtId="4" fontId="2" fillId="22" borderId="15" xfId="0" applyNumberFormat="1" applyFont="1" applyFill="1" applyBorder="1"/>
    <xf numFmtId="4" fontId="2" fillId="0" borderId="4" xfId="0" applyNumberFormat="1" applyFont="1" applyBorder="1"/>
    <xf numFmtId="4" fontId="3" fillId="0" borderId="28" xfId="0" applyNumberFormat="1" applyFont="1" applyBorder="1"/>
    <xf numFmtId="4" fontId="3" fillId="0" borderId="44" xfId="0" applyNumberFormat="1" applyFont="1" applyBorder="1"/>
    <xf numFmtId="4" fontId="3" fillId="0" borderId="15" xfId="0" applyNumberFormat="1" applyFont="1" applyBorder="1"/>
    <xf numFmtId="166" fontId="68" fillId="4" borderId="35" xfId="0" applyNumberFormat="1" applyFont="1" applyFill="1" applyBorder="1" applyAlignment="1">
      <alignment vertical="center" shrinkToFit="1"/>
    </xf>
    <xf numFmtId="166" fontId="73" fillId="12" borderId="15" xfId="0" applyNumberFormat="1" applyFont="1" applyFill="1" applyBorder="1" applyAlignment="1">
      <alignment vertical="center" shrinkToFit="1"/>
    </xf>
    <xf numFmtId="166" fontId="68" fillId="4" borderId="0" xfId="0" applyNumberFormat="1" applyFont="1" applyFill="1" applyBorder="1" applyAlignment="1">
      <alignment vertical="center" shrinkToFit="1"/>
    </xf>
    <xf numFmtId="166" fontId="68" fillId="0" borderId="8" xfId="0" applyNumberFormat="1" applyFont="1" applyFill="1" applyBorder="1" applyAlignment="1">
      <alignment vertical="center" shrinkToFit="1"/>
    </xf>
    <xf numFmtId="166" fontId="68" fillId="4" borderId="66" xfId="0" applyNumberFormat="1" applyFont="1" applyFill="1" applyBorder="1" applyAlignment="1">
      <alignment vertical="center" shrinkToFit="1"/>
    </xf>
    <xf numFmtId="166" fontId="68" fillId="4" borderId="70" xfId="0" applyNumberFormat="1" applyFont="1" applyFill="1" applyBorder="1" applyAlignment="1">
      <alignment vertical="center" shrinkToFit="1"/>
    </xf>
    <xf numFmtId="166" fontId="68" fillId="4" borderId="67" xfId="0" applyNumberFormat="1" applyFont="1" applyFill="1" applyBorder="1" applyAlignment="1">
      <alignment vertical="center" shrinkToFit="1"/>
    </xf>
    <xf numFmtId="166" fontId="8" fillId="4" borderId="34" xfId="0" applyNumberFormat="1" applyFont="1" applyFill="1" applyBorder="1" applyAlignment="1">
      <alignment vertical="center" shrinkToFit="1"/>
    </xf>
    <xf numFmtId="166" fontId="68" fillId="4" borderId="3" xfId="0" applyNumberFormat="1" applyFont="1" applyFill="1" applyBorder="1" applyAlignment="1">
      <alignment vertical="center" shrinkToFit="1"/>
    </xf>
    <xf numFmtId="166" fontId="68" fillId="4" borderId="54" xfId="0" applyNumberFormat="1" applyFont="1" applyFill="1" applyBorder="1" applyAlignment="1">
      <alignment vertical="center" shrinkToFit="1"/>
    </xf>
    <xf numFmtId="166" fontId="10" fillId="2" borderId="37" xfId="1" applyNumberFormat="1" applyFont="1" applyFill="1" applyBorder="1" applyAlignment="1">
      <alignment horizontal="center" vertical="center"/>
    </xf>
    <xf numFmtId="166" fontId="70" fillId="2" borderId="15" xfId="1" applyNumberFormat="1" applyFont="1" applyFill="1" applyBorder="1" applyAlignment="1">
      <alignment horizontal="right"/>
    </xf>
    <xf numFmtId="166" fontId="72" fillId="0" borderId="7" xfId="1" applyNumberFormat="1" applyFont="1" applyBorder="1" applyAlignment="1">
      <alignment horizontal="right"/>
    </xf>
    <xf numFmtId="166" fontId="71" fillId="0" borderId="9" xfId="1" applyNumberFormat="1" applyFont="1" applyBorder="1" applyAlignment="1">
      <alignment horizontal="right"/>
    </xf>
    <xf numFmtId="164" fontId="10" fillId="0" borderId="7" xfId="0" applyNumberFormat="1" applyFont="1" applyFill="1" applyBorder="1" applyAlignment="1">
      <alignment shrinkToFit="1"/>
    </xf>
    <xf numFmtId="164" fontId="10" fillId="0" borderId="15" xfId="0" applyNumberFormat="1" applyFont="1" applyFill="1" applyBorder="1" applyAlignment="1">
      <alignment shrinkToFit="1"/>
    </xf>
    <xf numFmtId="1" fontId="34" fillId="0" borderId="11" xfId="0" applyNumberFormat="1" applyFont="1" applyBorder="1" applyAlignment="1">
      <alignment shrinkToFit="1"/>
    </xf>
    <xf numFmtId="164" fontId="34" fillId="0" borderId="9" xfId="0" applyNumberFormat="1" applyFont="1" applyBorder="1" applyAlignment="1">
      <alignment shrinkToFit="1"/>
    </xf>
    <xf numFmtId="164" fontId="34" fillId="0" borderId="20" xfId="0" applyNumberFormat="1" applyFont="1" applyBorder="1" applyAlignment="1">
      <alignment shrinkToFit="1"/>
    </xf>
    <xf numFmtId="3" fontId="34" fillId="0" borderId="9" xfId="0" applyNumberFormat="1" applyFont="1" applyBorder="1" applyAlignment="1">
      <alignment shrinkToFit="1"/>
    </xf>
    <xf numFmtId="164" fontId="34" fillId="0" borderId="8" xfId="0" applyNumberFormat="1" applyFont="1" applyBorder="1" applyAlignment="1">
      <alignment shrinkToFit="1"/>
    </xf>
    <xf numFmtId="3" fontId="31" fillId="0" borderId="79" xfId="0" applyNumberFormat="1" applyFont="1" applyBorder="1"/>
    <xf numFmtId="165" fontId="11" fillId="0" borderId="2" xfId="0" applyNumberFormat="1" applyFont="1" applyBorder="1" applyAlignment="1">
      <alignment shrinkToFit="1"/>
    </xf>
    <xf numFmtId="1" fontId="34" fillId="0" borderId="32" xfId="0" applyNumberFormat="1" applyFont="1" applyBorder="1" applyAlignment="1">
      <alignment shrinkToFit="1"/>
    </xf>
    <xf numFmtId="164" fontId="34" fillId="0" borderId="6" xfId="0" applyNumberFormat="1" applyFont="1" applyBorder="1" applyAlignment="1">
      <alignment shrinkToFit="1"/>
    </xf>
    <xf numFmtId="3" fontId="34" fillId="0" borderId="5" xfId="0" applyNumberFormat="1" applyFont="1" applyBorder="1" applyAlignment="1">
      <alignment shrinkToFit="1"/>
    </xf>
    <xf numFmtId="164" fontId="34" fillId="0" borderId="52" xfId="0" applyNumberFormat="1" applyFont="1" applyBorder="1" applyAlignment="1">
      <alignment shrinkToFit="1"/>
    </xf>
    <xf numFmtId="1" fontId="34" fillId="0" borderId="5" xfId="0" applyNumberFormat="1" applyFont="1" applyBorder="1" applyAlignment="1">
      <alignment shrinkToFit="1"/>
    </xf>
    <xf numFmtId="164" fontId="34" fillId="0" borderId="38" xfId="0" applyNumberFormat="1" applyFont="1" applyBorder="1" applyAlignment="1">
      <alignment shrinkToFit="1"/>
    </xf>
    <xf numFmtId="3" fontId="34" fillId="0" borderId="52" xfId="0" applyNumberFormat="1" applyFont="1" applyBorder="1" applyAlignment="1">
      <alignment shrinkToFit="1"/>
    </xf>
    <xf numFmtId="3" fontId="34" fillId="0" borderId="11" xfId="0" applyNumberFormat="1" applyFont="1" applyBorder="1" applyAlignment="1">
      <alignment shrinkToFit="1"/>
    </xf>
    <xf numFmtId="164" fontId="10" fillId="0" borderId="40" xfId="0" applyNumberFormat="1" applyFont="1" applyBorder="1" applyAlignment="1">
      <alignment shrinkToFit="1"/>
    </xf>
    <xf numFmtId="164" fontId="34" fillId="0" borderId="1" xfId="0" applyNumberFormat="1" applyFont="1" applyBorder="1" applyAlignment="1">
      <alignment shrinkToFit="1"/>
    </xf>
    <xf numFmtId="1" fontId="10" fillId="0" borderId="26" xfId="0" applyNumberFormat="1" applyFont="1" applyBorder="1"/>
    <xf numFmtId="3" fontId="74" fillId="0" borderId="48" xfId="0" applyNumberFormat="1" applyFont="1" applyFill="1" applyBorder="1" applyAlignment="1">
      <alignment horizontal="center" vertical="center" wrapText="1"/>
    </xf>
    <xf numFmtId="0" fontId="34" fillId="0" borderId="31" xfId="0" applyFont="1" applyBorder="1" applyAlignment="1">
      <alignment shrinkToFit="1"/>
    </xf>
    <xf numFmtId="164" fontId="34" fillId="0" borderId="48" xfId="0" applyNumberFormat="1" applyFont="1" applyBorder="1" applyAlignment="1">
      <alignment shrinkToFit="1"/>
    </xf>
    <xf numFmtId="166" fontId="34" fillId="0" borderId="48" xfId="0" applyNumberFormat="1" applyFont="1" applyBorder="1" applyAlignment="1">
      <alignment shrinkToFit="1"/>
    </xf>
    <xf numFmtId="0" fontId="34" fillId="0" borderId="48" xfId="0" applyFont="1" applyBorder="1" applyAlignment="1">
      <alignment shrinkToFit="1"/>
    </xf>
    <xf numFmtId="166" fontId="33" fillId="0" borderId="48" xfId="0" applyNumberFormat="1" applyFont="1" applyBorder="1"/>
    <xf numFmtId="166" fontId="33" fillId="0" borderId="31" xfId="0" applyNumberFormat="1" applyFont="1" applyBorder="1"/>
    <xf numFmtId="166" fontId="75" fillId="0" borderId="31" xfId="0" applyNumberFormat="1" applyFont="1" applyBorder="1" applyAlignment="1"/>
    <xf numFmtId="166" fontId="33" fillId="0" borderId="48" xfId="0" applyNumberFormat="1" applyFont="1" applyBorder="1" applyAlignment="1"/>
    <xf numFmtId="164" fontId="33" fillId="0" borderId="31" xfId="0" applyNumberFormat="1" applyFont="1" applyBorder="1" applyAlignment="1"/>
    <xf numFmtId="164" fontId="33" fillId="0" borderId="31" xfId="0" applyNumberFormat="1" applyFont="1" applyBorder="1"/>
    <xf numFmtId="169" fontId="34" fillId="0" borderId="48" xfId="0" applyNumberFormat="1" applyFont="1" applyFill="1" applyBorder="1"/>
    <xf numFmtId="169" fontId="34" fillId="0" borderId="48" xfId="0" applyNumberFormat="1" applyFont="1" applyBorder="1" applyAlignment="1">
      <alignment shrinkToFit="1"/>
    </xf>
    <xf numFmtId="169" fontId="33" fillId="0" borderId="31" xfId="0" applyNumberFormat="1" applyFont="1" applyBorder="1" applyAlignment="1"/>
    <xf numFmtId="166" fontId="3" fillId="0" borderId="73" xfId="0" applyNumberFormat="1" applyFont="1" applyFill="1" applyBorder="1" applyAlignment="1">
      <alignment horizontal="right"/>
    </xf>
    <xf numFmtId="166" fontId="2" fillId="0" borderId="31" xfId="0" applyNumberFormat="1" applyFont="1" applyFill="1" applyBorder="1" applyAlignment="1">
      <alignment horizontal="right"/>
    </xf>
    <xf numFmtId="166" fontId="3" fillId="0" borderId="31" xfId="0" applyNumberFormat="1" applyFont="1" applyFill="1" applyBorder="1" applyAlignment="1">
      <alignment horizontal="right"/>
    </xf>
    <xf numFmtId="166" fontId="7" fillId="0" borderId="8" xfId="0" applyNumberFormat="1" applyFont="1" applyFill="1" applyBorder="1" applyAlignment="1">
      <alignment horizontal="right"/>
    </xf>
    <xf numFmtId="166" fontId="6" fillId="0" borderId="31" xfId="0" applyNumberFormat="1" applyFont="1" applyFill="1" applyBorder="1" applyAlignment="1">
      <alignment horizontal="right"/>
    </xf>
    <xf numFmtId="166" fontId="2" fillId="0" borderId="8" xfId="0" applyNumberFormat="1" applyFont="1" applyFill="1" applyBorder="1" applyAlignment="1">
      <alignment horizontal="right"/>
    </xf>
    <xf numFmtId="166" fontId="2" fillId="0" borderId="67" xfId="0" applyNumberFormat="1" applyFont="1" applyFill="1" applyBorder="1" applyAlignment="1">
      <alignment horizontal="right" vertical="center"/>
    </xf>
    <xf numFmtId="166" fontId="77" fillId="0" borderId="7" xfId="0" applyNumberFormat="1" applyFont="1" applyBorder="1" applyAlignment="1">
      <alignment vertical="center" shrinkToFit="1"/>
    </xf>
    <xf numFmtId="166" fontId="77" fillId="0" borderId="7" xfId="0" applyNumberFormat="1" applyFont="1" applyFill="1" applyBorder="1" applyAlignment="1">
      <alignment vertical="center" shrinkToFit="1"/>
    </xf>
    <xf numFmtId="166" fontId="77" fillId="0" borderId="8" xfId="0" applyNumberFormat="1" applyFont="1" applyBorder="1" applyAlignment="1">
      <alignment vertical="center" shrinkToFit="1"/>
    </xf>
    <xf numFmtId="166" fontId="77" fillId="0" borderId="30" xfId="0" applyNumberFormat="1" applyFont="1" applyBorder="1" applyAlignment="1">
      <alignment vertical="center" shrinkToFit="1"/>
    </xf>
    <xf numFmtId="166" fontId="77" fillId="0" borderId="20" xfId="0" applyNumberFormat="1" applyFont="1" applyBorder="1" applyAlignment="1">
      <alignment vertical="center" shrinkToFit="1"/>
    </xf>
    <xf numFmtId="166" fontId="77" fillId="4" borderId="15" xfId="0" applyNumberFormat="1" applyFont="1" applyFill="1" applyBorder="1" applyAlignment="1">
      <alignment vertical="center" shrinkToFit="1"/>
    </xf>
    <xf numFmtId="166" fontId="77" fillId="9" borderId="15" xfId="0" applyNumberFormat="1" applyFont="1" applyFill="1" applyBorder="1" applyAlignment="1">
      <alignment vertical="center" shrinkToFit="1"/>
    </xf>
    <xf numFmtId="166" fontId="78" fillId="12" borderId="15" xfId="0" applyNumberFormat="1" applyFont="1" applyFill="1" applyBorder="1" applyAlignment="1">
      <alignment vertical="center" shrinkToFit="1"/>
    </xf>
    <xf numFmtId="166" fontId="79" fillId="17" borderId="15" xfId="0" applyNumberFormat="1" applyFont="1" applyFill="1" applyBorder="1" applyAlignment="1">
      <alignment vertical="center" shrinkToFit="1"/>
    </xf>
    <xf numFmtId="166" fontId="77" fillId="0" borderId="1" xfId="0" applyNumberFormat="1" applyFont="1" applyBorder="1" applyAlignment="1">
      <alignment vertical="center" shrinkToFit="1"/>
    </xf>
    <xf numFmtId="166" fontId="77" fillId="0" borderId="25" xfId="0" applyNumberFormat="1" applyFont="1" applyBorder="1" applyAlignment="1">
      <alignment vertical="center" shrinkToFit="1"/>
    </xf>
    <xf numFmtId="166" fontId="79" fillId="17" borderId="37" xfId="0" applyNumberFormat="1" applyFont="1" applyFill="1" applyBorder="1" applyAlignment="1">
      <alignment vertical="center" shrinkToFit="1"/>
    </xf>
    <xf numFmtId="166" fontId="77" fillId="0" borderId="38" xfId="0" applyNumberFormat="1" applyFont="1" applyBorder="1" applyAlignment="1">
      <alignment vertical="center" shrinkToFit="1"/>
    </xf>
    <xf numFmtId="166" fontId="77" fillId="0" borderId="45" xfId="0" applyNumberFormat="1" applyFont="1" applyBorder="1" applyAlignment="1">
      <alignment vertical="center" shrinkToFit="1"/>
    </xf>
    <xf numFmtId="166" fontId="77" fillId="9" borderId="37" xfId="0" applyNumberFormat="1" applyFont="1" applyFill="1" applyBorder="1" applyAlignment="1">
      <alignment vertical="center" shrinkToFit="1"/>
    </xf>
    <xf numFmtId="166" fontId="77" fillId="0" borderId="26" xfId="0" applyNumberFormat="1" applyFont="1" applyBorder="1" applyAlignment="1">
      <alignment vertical="center" shrinkToFit="1"/>
    </xf>
    <xf numFmtId="166" fontId="77" fillId="4" borderId="37" xfId="0" applyNumberFormat="1" applyFont="1" applyFill="1" applyBorder="1" applyAlignment="1">
      <alignment vertical="center" shrinkToFit="1"/>
    </xf>
    <xf numFmtId="166" fontId="78" fillId="12" borderId="16" xfId="0" applyNumberFormat="1" applyFont="1" applyFill="1" applyBorder="1" applyAlignment="1">
      <alignment vertical="center" shrinkToFit="1"/>
    </xf>
    <xf numFmtId="166" fontId="77" fillId="0" borderId="9" xfId="0" applyNumberFormat="1" applyFont="1" applyBorder="1" applyAlignment="1">
      <alignment vertical="center" shrinkToFit="1"/>
    </xf>
    <xf numFmtId="166" fontId="77" fillId="0" borderId="48" xfId="0" applyNumberFormat="1" applyFont="1" applyBorder="1" applyAlignment="1">
      <alignment vertical="center" shrinkToFit="1"/>
    </xf>
    <xf numFmtId="166" fontId="77" fillId="4" borderId="35" xfId="0" applyNumberFormat="1" applyFont="1" applyFill="1" applyBorder="1" applyAlignment="1">
      <alignment vertical="center" shrinkToFit="1"/>
    </xf>
    <xf numFmtId="166" fontId="77" fillId="9" borderId="80" xfId="0" applyNumberFormat="1" applyFont="1" applyFill="1" applyBorder="1" applyAlignment="1">
      <alignment vertical="center" shrinkToFit="1"/>
    </xf>
    <xf numFmtId="166" fontId="78" fillId="12" borderId="66" xfId="0" applyNumberFormat="1" applyFont="1" applyFill="1" applyBorder="1" applyAlignment="1">
      <alignment vertical="center" shrinkToFit="1"/>
    </xf>
    <xf numFmtId="166" fontId="77" fillId="0" borderId="27" xfId="0" applyNumberFormat="1" applyFont="1" applyBorder="1" applyAlignment="1">
      <alignment vertical="center" shrinkToFit="1"/>
    </xf>
    <xf numFmtId="166" fontId="78" fillId="12" borderId="37" xfId="0" applyNumberFormat="1" applyFont="1" applyFill="1" applyBorder="1" applyAlignment="1">
      <alignment vertical="center" shrinkToFit="1"/>
    </xf>
    <xf numFmtId="166" fontId="77" fillId="0" borderId="8" xfId="0" applyNumberFormat="1" applyFont="1" applyFill="1" applyBorder="1" applyAlignment="1">
      <alignment vertical="center" shrinkToFit="1"/>
    </xf>
    <xf numFmtId="166" fontId="77" fillId="4" borderId="66" xfId="0" applyNumberFormat="1" applyFont="1" applyFill="1" applyBorder="1" applyAlignment="1">
      <alignment vertical="center" shrinkToFit="1"/>
    </xf>
    <xf numFmtId="166" fontId="78" fillId="12" borderId="67" xfId="0" applyNumberFormat="1" applyFont="1" applyFill="1" applyBorder="1" applyAlignment="1">
      <alignment vertical="center" shrinkToFit="1"/>
    </xf>
    <xf numFmtId="166" fontId="77" fillId="4" borderId="67" xfId="0" applyNumberFormat="1" applyFont="1" applyFill="1" applyBorder="1" applyAlignment="1">
      <alignment vertical="center" shrinkToFit="1"/>
    </xf>
    <xf numFmtId="166" fontId="77" fillId="0" borderId="51" xfId="0" applyNumberFormat="1" applyFont="1" applyBorder="1" applyAlignment="1">
      <alignment vertical="center" shrinkToFit="1"/>
    </xf>
    <xf numFmtId="166" fontId="77" fillId="0" borderId="48" xfId="0" applyNumberFormat="1" applyFont="1" applyFill="1" applyBorder="1" applyAlignment="1">
      <alignment vertical="center" shrinkToFit="1"/>
    </xf>
    <xf numFmtId="166" fontId="77" fillId="0" borderId="59" xfId="0" applyNumberFormat="1" applyFont="1" applyBorder="1" applyAlignment="1">
      <alignment vertical="center" shrinkToFit="1"/>
    </xf>
    <xf numFmtId="166" fontId="79" fillId="17" borderId="16" xfId="0" applyNumberFormat="1" applyFont="1" applyFill="1" applyBorder="1" applyAlignment="1">
      <alignment vertical="center" shrinkToFit="1"/>
    </xf>
    <xf numFmtId="166" fontId="77" fillId="9" borderId="16" xfId="0" applyNumberFormat="1" applyFont="1" applyFill="1" applyBorder="1" applyAlignment="1">
      <alignment vertical="center" shrinkToFit="1"/>
    </xf>
    <xf numFmtId="166" fontId="77" fillId="0" borderId="1" xfId="0" applyNumberFormat="1" applyFont="1" applyFill="1" applyBorder="1" applyAlignment="1">
      <alignment vertical="center" shrinkToFit="1"/>
    </xf>
    <xf numFmtId="166" fontId="77" fillId="19" borderId="1" xfId="0" applyNumberFormat="1" applyFont="1" applyFill="1" applyBorder="1" applyAlignment="1">
      <alignment vertical="center" shrinkToFit="1"/>
    </xf>
    <xf numFmtId="166" fontId="77" fillId="20" borderId="35" xfId="0" applyNumberFormat="1" applyFont="1" applyFill="1" applyBorder="1" applyAlignment="1">
      <alignment vertical="center" shrinkToFit="1"/>
    </xf>
    <xf numFmtId="166" fontId="77" fillId="0" borderId="52" xfId="0" applyNumberFormat="1" applyFont="1" applyBorder="1" applyAlignment="1">
      <alignment vertical="center" shrinkToFit="1"/>
    </xf>
    <xf numFmtId="166" fontId="77" fillId="0" borderId="49" xfId="0" applyNumberFormat="1" applyFont="1" applyBorder="1" applyAlignment="1">
      <alignment vertical="center" shrinkToFit="1"/>
    </xf>
    <xf numFmtId="166" fontId="77" fillId="0" borderId="20" xfId="0" applyNumberFormat="1" applyFont="1" applyFill="1" applyBorder="1" applyAlignment="1">
      <alignment vertical="center" shrinkToFit="1"/>
    </xf>
    <xf numFmtId="166" fontId="77" fillId="4" borderId="3" xfId="0" applyNumberFormat="1" applyFont="1" applyFill="1" applyBorder="1" applyAlignment="1">
      <alignment vertical="center" shrinkToFit="1"/>
    </xf>
    <xf numFmtId="166" fontId="78" fillId="12" borderId="3" xfId="0" applyNumberFormat="1" applyFont="1" applyFill="1" applyBorder="1" applyAlignment="1">
      <alignment vertical="center" shrinkToFit="1"/>
    </xf>
    <xf numFmtId="166" fontId="79" fillId="17" borderId="8" xfId="0" applyNumberFormat="1" applyFont="1" applyFill="1" applyBorder="1" applyAlignment="1">
      <alignment vertical="center" shrinkToFit="1"/>
    </xf>
    <xf numFmtId="166" fontId="77" fillId="0" borderId="65" xfId="0" applyNumberFormat="1" applyFont="1" applyBorder="1" applyAlignment="1">
      <alignment vertical="center" shrinkToFit="1"/>
    </xf>
    <xf numFmtId="166" fontId="77" fillId="0" borderId="15" xfId="0" applyNumberFormat="1" applyFont="1" applyFill="1" applyBorder="1" applyAlignment="1">
      <alignment vertical="center" shrinkToFit="1"/>
    </xf>
    <xf numFmtId="166" fontId="79" fillId="17" borderId="75" xfId="0" applyNumberFormat="1" applyFont="1" applyFill="1" applyBorder="1" applyAlignment="1">
      <alignment vertical="center" shrinkToFit="1"/>
    </xf>
    <xf numFmtId="166" fontId="79" fillId="17" borderId="2" xfId="0" applyNumberFormat="1" applyFont="1" applyFill="1" applyBorder="1" applyAlignment="1">
      <alignment vertical="center" shrinkToFit="1"/>
    </xf>
    <xf numFmtId="166" fontId="79" fillId="0" borderId="75" xfId="0" applyNumberFormat="1" applyFont="1" applyBorder="1" applyAlignment="1">
      <alignment vertical="center" shrinkToFit="1"/>
    </xf>
    <xf numFmtId="166" fontId="77" fillId="4" borderId="16" xfId="0" applyNumberFormat="1" applyFont="1" applyFill="1" applyBorder="1" applyAlignment="1">
      <alignment vertical="center" shrinkToFit="1"/>
    </xf>
    <xf numFmtId="166" fontId="77" fillId="0" borderId="28" xfId="0" applyNumberFormat="1" applyFont="1" applyBorder="1" applyAlignment="1">
      <alignment vertical="center" shrinkToFit="1"/>
    </xf>
    <xf numFmtId="166" fontId="77" fillId="0" borderId="4" xfId="0" applyNumberFormat="1" applyFont="1" applyBorder="1" applyAlignment="1">
      <alignment vertical="center" shrinkToFit="1"/>
    </xf>
    <xf numFmtId="166" fontId="50" fillId="17" borderId="70" xfId="0" applyNumberFormat="1" applyFont="1" applyFill="1" applyBorder="1" applyAlignment="1">
      <alignment vertical="center" shrinkToFit="1"/>
    </xf>
    <xf numFmtId="166" fontId="50" fillId="17" borderId="80" xfId="0" applyNumberFormat="1" applyFont="1" applyFill="1" applyBorder="1" applyAlignment="1">
      <alignment vertical="center" shrinkToFit="1"/>
    </xf>
    <xf numFmtId="165" fontId="77" fillId="0" borderId="7" xfId="0" applyNumberFormat="1" applyFont="1" applyBorder="1" applyAlignment="1">
      <alignment vertical="center" shrinkToFit="1"/>
    </xf>
    <xf numFmtId="166" fontId="77" fillId="9" borderId="14" xfId="0" applyNumberFormat="1" applyFont="1" applyFill="1" applyBorder="1" applyAlignment="1">
      <alignment vertical="center" shrinkToFit="1"/>
    </xf>
    <xf numFmtId="166" fontId="34" fillId="0" borderId="48" xfId="0" applyNumberFormat="1" applyFont="1" applyFill="1" applyBorder="1" applyAlignment="1">
      <alignment horizontal="left" vertical="center"/>
    </xf>
    <xf numFmtId="166" fontId="31" fillId="3" borderId="48" xfId="0" applyNumberFormat="1" applyFont="1" applyFill="1" applyBorder="1" applyAlignment="1">
      <alignment wrapText="1"/>
    </xf>
    <xf numFmtId="165" fontId="34" fillId="0" borderId="48" xfId="0" applyNumberFormat="1" applyFont="1" applyFill="1" applyBorder="1" applyAlignment="1">
      <alignment horizontal="left" vertical="center"/>
    </xf>
    <xf numFmtId="165" fontId="31" fillId="3" borderId="48" xfId="0" applyNumberFormat="1" applyFont="1" applyFill="1" applyBorder="1" applyAlignment="1">
      <alignment wrapText="1"/>
    </xf>
    <xf numFmtId="166" fontId="10" fillId="0" borderId="0" xfId="0" applyNumberFormat="1" applyFont="1" applyFill="1" applyBorder="1" applyAlignment="1">
      <alignment horizontal="right" vertical="center"/>
    </xf>
    <xf numFmtId="166" fontId="63" fillId="0" borderId="48" xfId="0" applyNumberFormat="1" applyFont="1" applyFill="1" applyBorder="1" applyAlignment="1">
      <alignment horizontal="left" vertical="center"/>
    </xf>
    <xf numFmtId="166" fontId="12" fillId="13" borderId="48" xfId="0" applyNumberFormat="1" applyFont="1" applyFill="1" applyBorder="1" applyAlignment="1">
      <alignment horizontal="left" vertical="center"/>
    </xf>
    <xf numFmtId="166" fontId="33" fillId="0" borderId="48" xfId="0" applyNumberFormat="1" applyFont="1" applyFill="1" applyBorder="1" applyAlignment="1">
      <alignment horizontal="left" vertical="center"/>
    </xf>
    <xf numFmtId="166" fontId="12" fillId="14" borderId="48" xfId="0" applyNumberFormat="1" applyFont="1" applyFill="1" applyBorder="1" applyAlignment="1">
      <alignment horizontal="left" vertical="center"/>
    </xf>
    <xf numFmtId="166" fontId="12" fillId="0" borderId="0" xfId="0" applyNumberFormat="1" applyFont="1" applyFill="1" applyBorder="1" applyAlignment="1">
      <alignment horizontal="left" vertical="center"/>
    </xf>
    <xf numFmtId="166" fontId="41" fillId="0" borderId="48" xfId="0" applyNumberFormat="1" applyFont="1" applyFill="1" applyBorder="1" applyAlignment="1">
      <alignment horizontal="left" vertical="center"/>
    </xf>
    <xf numFmtId="166" fontId="10" fillId="14" borderId="48" xfId="0" applyNumberFormat="1" applyFont="1" applyFill="1" applyBorder="1" applyAlignment="1">
      <alignment horizontal="left" vertical="center"/>
    </xf>
    <xf numFmtId="166" fontId="10" fillId="0" borderId="0" xfId="0" applyNumberFormat="1" applyFont="1" applyFill="1" applyBorder="1" applyAlignment="1">
      <alignment horizontal="left" vertical="center"/>
    </xf>
    <xf numFmtId="166" fontId="10" fillId="0" borderId="48" xfId="0" applyNumberFormat="1" applyFont="1" applyFill="1" applyBorder="1" applyAlignment="1">
      <alignment horizontal="center"/>
    </xf>
    <xf numFmtId="166" fontId="10" fillId="0" borderId="59" xfId="0" applyNumberFormat="1" applyFont="1" applyFill="1" applyBorder="1"/>
    <xf numFmtId="166" fontId="34" fillId="0" borderId="59" xfId="0" applyNumberFormat="1" applyFont="1" applyFill="1" applyBorder="1"/>
    <xf numFmtId="166" fontId="11" fillId="28" borderId="59" xfId="0" applyNumberFormat="1" applyFont="1" applyFill="1" applyBorder="1" applyAlignment="1">
      <alignment horizontal="right" vertical="center"/>
    </xf>
    <xf numFmtId="166" fontId="11" fillId="13" borderId="66" xfId="0" applyNumberFormat="1" applyFont="1" applyFill="1" applyBorder="1"/>
    <xf numFmtId="166" fontId="11" fillId="14" borderId="66" xfId="0" applyNumberFormat="1" applyFont="1" applyFill="1" applyBorder="1"/>
    <xf numFmtId="166" fontId="11" fillId="14" borderId="67" xfId="0" applyNumberFormat="1" applyFont="1" applyFill="1" applyBorder="1"/>
    <xf numFmtId="166" fontId="11" fillId="0" borderId="0" xfId="0" applyNumberFormat="1" applyFont="1" applyFill="1" applyBorder="1"/>
    <xf numFmtId="166" fontId="11" fillId="15" borderId="2" xfId="0" applyNumberFormat="1" applyFont="1" applyFill="1" applyBorder="1"/>
    <xf numFmtId="166" fontId="11" fillId="15" borderId="66" xfId="0" applyNumberFormat="1" applyFont="1" applyFill="1" applyBorder="1"/>
    <xf numFmtId="166" fontId="11" fillId="15" borderId="17" xfId="0" applyNumberFormat="1" applyFont="1" applyFill="1" applyBorder="1" applyAlignment="1">
      <alignment horizontal="right" vertical="center"/>
    </xf>
    <xf numFmtId="166" fontId="10" fillId="13" borderId="58" xfId="0" applyNumberFormat="1" applyFont="1" applyFill="1" applyBorder="1"/>
    <xf numFmtId="166" fontId="10" fillId="27" borderId="40" xfId="0" applyNumberFormat="1" applyFont="1" applyFill="1" applyBorder="1"/>
    <xf numFmtId="166" fontId="11" fillId="28" borderId="58" xfId="0" applyNumberFormat="1" applyFont="1" applyFill="1" applyBorder="1" applyAlignment="1">
      <alignment horizontal="right" vertical="center"/>
    </xf>
    <xf numFmtId="166" fontId="10" fillId="13" borderId="48" xfId="0" applyNumberFormat="1" applyFont="1" applyFill="1" applyBorder="1"/>
    <xf numFmtId="166" fontId="11" fillId="15" borderId="31" xfId="0" applyNumberFormat="1" applyFont="1" applyFill="1" applyBorder="1" applyAlignment="1">
      <alignment wrapText="1"/>
    </xf>
    <xf numFmtId="166" fontId="11" fillId="15" borderId="48" xfId="0" applyNumberFormat="1" applyFont="1" applyFill="1" applyBorder="1" applyAlignment="1">
      <alignment horizontal="right" vertical="center"/>
    </xf>
    <xf numFmtId="166" fontId="11" fillId="0" borderId="0" xfId="0" applyNumberFormat="1" applyFont="1" applyFill="1" applyBorder="1" applyAlignment="1">
      <alignment wrapText="1"/>
    </xf>
    <xf numFmtId="166" fontId="11" fillId="15" borderId="48" xfId="0" applyNumberFormat="1" applyFont="1" applyFill="1" applyBorder="1" applyAlignment="1">
      <alignment wrapText="1"/>
    </xf>
    <xf numFmtId="166" fontId="11" fillId="27" borderId="31" xfId="0" applyNumberFormat="1" applyFont="1" applyFill="1" applyBorder="1"/>
    <xf numFmtId="166" fontId="10" fillId="27" borderId="31" xfId="0" applyNumberFormat="1" applyFont="1" applyFill="1" applyBorder="1" applyAlignment="1">
      <alignment wrapText="1"/>
    </xf>
    <xf numFmtId="166" fontId="10" fillId="0" borderId="0" xfId="0" applyNumberFormat="1" applyFont="1" applyFill="1" applyBorder="1" applyAlignment="1">
      <alignment wrapText="1"/>
    </xf>
    <xf numFmtId="166" fontId="11" fillId="15" borderId="48" xfId="0" applyNumberFormat="1" applyFont="1" applyFill="1" applyBorder="1"/>
    <xf numFmtId="166" fontId="10" fillId="15" borderId="48" xfId="0" applyNumberFormat="1" applyFont="1" applyFill="1" applyBorder="1"/>
    <xf numFmtId="166" fontId="10" fillId="15" borderId="31" xfId="0" applyNumberFormat="1" applyFont="1" applyFill="1" applyBorder="1"/>
    <xf numFmtId="166" fontId="10" fillId="15" borderId="0" xfId="0" applyNumberFormat="1" applyFont="1" applyFill="1" applyBorder="1"/>
    <xf numFmtId="166" fontId="11" fillId="15" borderId="31" xfId="0" applyNumberFormat="1" applyFont="1" applyFill="1" applyBorder="1"/>
    <xf numFmtId="166" fontId="11" fillId="15" borderId="0" xfId="0" applyNumberFormat="1" applyFont="1" applyFill="1" applyBorder="1"/>
    <xf numFmtId="166" fontId="34" fillId="0" borderId="59" xfId="0" applyNumberFormat="1" applyFont="1" applyFill="1" applyBorder="1" applyAlignment="1">
      <alignment horizontal="left" vertical="center"/>
    </xf>
    <xf numFmtId="166" fontId="31" fillId="15" borderId="48" xfId="0" applyNumberFormat="1" applyFont="1" applyFill="1" applyBorder="1" applyAlignment="1">
      <alignment wrapText="1"/>
    </xf>
    <xf numFmtId="166" fontId="77" fillId="0" borderId="67" xfId="0" applyNumberFormat="1" applyFont="1" applyBorder="1" applyAlignment="1">
      <alignment wrapText="1"/>
    </xf>
    <xf numFmtId="166" fontId="77" fillId="0" borderId="15" xfId="0" applyNumberFormat="1" applyFont="1" applyBorder="1" applyAlignment="1">
      <alignment wrapText="1"/>
    </xf>
    <xf numFmtId="166" fontId="77" fillId="0" borderId="68" xfId="0" applyNumberFormat="1" applyFont="1" applyBorder="1"/>
    <xf numFmtId="166" fontId="77" fillId="0" borderId="15" xfId="0" applyNumberFormat="1" applyFont="1" applyBorder="1"/>
    <xf numFmtId="166" fontId="77" fillId="0" borderId="16" xfId="0" applyNumberFormat="1" applyFont="1" applyBorder="1" applyAlignment="1">
      <alignment wrapText="1"/>
    </xf>
    <xf numFmtId="166" fontId="77" fillId="0" borderId="37" xfId="0" applyNumberFormat="1" applyFont="1" applyBorder="1"/>
    <xf numFmtId="166" fontId="3" fillId="0" borderId="15" xfId="0" applyNumberFormat="1" applyFont="1" applyBorder="1" applyAlignment="1">
      <alignment wrapText="1"/>
    </xf>
    <xf numFmtId="166" fontId="3" fillId="0" borderId="3" xfId="0" applyNumberFormat="1" applyFont="1" applyBorder="1"/>
    <xf numFmtId="166" fontId="72" fillId="0" borderId="15" xfId="0" applyNumberFormat="1" applyFont="1" applyBorder="1" applyAlignment="1">
      <alignment wrapText="1"/>
    </xf>
    <xf numFmtId="166" fontId="72" fillId="0" borderId="15" xfId="0" applyNumberFormat="1" applyFont="1" applyBorder="1"/>
    <xf numFmtId="166" fontId="72" fillId="0" borderId="3" xfId="0" applyNumberFormat="1" applyFont="1" applyBorder="1"/>
    <xf numFmtId="166" fontId="38" fillId="0" borderId="30" xfId="0" applyNumberFormat="1" applyFont="1" applyBorder="1"/>
    <xf numFmtId="166" fontId="38" fillId="0" borderId="30" xfId="0" applyNumberFormat="1" applyFont="1" applyFill="1" applyBorder="1"/>
    <xf numFmtId="166" fontId="38" fillId="0" borderId="7" xfId="0" applyNumberFormat="1" applyFont="1" applyBorder="1"/>
    <xf numFmtId="166" fontId="38" fillId="0" borderId="7" xfId="0" applyNumberFormat="1" applyFont="1" applyFill="1" applyBorder="1"/>
    <xf numFmtId="166" fontId="32" fillId="0" borderId="1" xfId="0" applyNumberFormat="1" applyFont="1" applyBorder="1" applyAlignment="1">
      <alignment horizontal="center" vertical="center" wrapText="1"/>
    </xf>
    <xf numFmtId="166" fontId="77" fillId="0" borderId="7" xfId="0" applyNumberFormat="1" applyFont="1" applyBorder="1"/>
    <xf numFmtId="166" fontId="77" fillId="0" borderId="20" xfId="0" applyNumberFormat="1" applyFont="1" applyBorder="1"/>
    <xf numFmtId="166" fontId="77" fillId="0" borderId="8" xfId="0" applyNumberFormat="1" applyFont="1" applyBorder="1"/>
    <xf numFmtId="166" fontId="77" fillId="0" borderId="30" xfId="0" applyNumberFormat="1" applyFont="1" applyBorder="1"/>
    <xf numFmtId="166" fontId="38" fillId="0" borderId="16" xfId="0" applyNumberFormat="1" applyFont="1" applyBorder="1" applyAlignment="1">
      <alignment wrapText="1"/>
    </xf>
    <xf numFmtId="166" fontId="38" fillId="13" borderId="30" xfId="0" applyNumberFormat="1" applyFont="1" applyFill="1" applyBorder="1"/>
    <xf numFmtId="166" fontId="76" fillId="0" borderId="39" xfId="0" applyNumberFormat="1" applyFont="1" applyBorder="1"/>
    <xf numFmtId="1" fontId="33" fillId="0" borderId="31" xfId="0" applyNumberFormat="1" applyFont="1" applyBorder="1" applyAlignment="1"/>
    <xf numFmtId="165" fontId="33" fillId="0" borderId="31" xfId="0" applyNumberFormat="1" applyFont="1" applyBorder="1" applyAlignment="1"/>
    <xf numFmtId="2" fontId="33" fillId="0" borderId="31" xfId="0" applyNumberFormat="1" applyFont="1" applyBorder="1" applyAlignment="1"/>
    <xf numFmtId="165" fontId="31" fillId="0" borderId="48" xfId="0" applyNumberFormat="1" applyFont="1" applyFill="1" applyBorder="1" applyAlignment="1">
      <alignment horizontal="center" vertical="center" wrapText="1"/>
    </xf>
    <xf numFmtId="164" fontId="31" fillId="0" borderId="48" xfId="0" applyNumberFormat="1" applyFont="1" applyFill="1" applyBorder="1" applyAlignment="1">
      <alignment horizontal="center" vertical="center" wrapText="1"/>
    </xf>
    <xf numFmtId="165" fontId="34" fillId="0" borderId="48" xfId="0" applyNumberFormat="1" applyFont="1" applyFill="1" applyBorder="1" applyAlignment="1">
      <alignment horizontal="left"/>
    </xf>
    <xf numFmtId="1" fontId="34" fillId="0" borderId="9" xfId="0" applyNumberFormat="1" applyFont="1" applyFill="1" applyBorder="1" applyAlignment="1">
      <alignment shrinkToFit="1"/>
    </xf>
    <xf numFmtId="164" fontId="34" fillId="0" borderId="31" xfId="0" applyNumberFormat="1" applyFont="1" applyFill="1" applyBorder="1" applyAlignment="1">
      <alignment shrinkToFit="1"/>
    </xf>
    <xf numFmtId="164" fontId="34" fillId="0" borderId="10" xfId="0" applyNumberFormat="1" applyFont="1" applyBorder="1" applyAlignment="1">
      <alignment shrinkToFit="1"/>
    </xf>
    <xf numFmtId="0" fontId="34" fillId="0" borderId="11" xfId="0" applyFont="1" applyBorder="1" applyAlignment="1">
      <alignment shrinkToFit="1"/>
    </xf>
    <xf numFmtId="1" fontId="34" fillId="0" borderId="11" xfId="0" applyNumberFormat="1" applyFont="1" applyFill="1" applyBorder="1" applyAlignment="1">
      <alignment shrinkToFit="1"/>
    </xf>
    <xf numFmtId="164" fontId="34" fillId="0" borderId="10" xfId="0" applyNumberFormat="1" applyFont="1" applyFill="1" applyBorder="1" applyAlignment="1">
      <alignment shrinkToFit="1"/>
    </xf>
    <xf numFmtId="169" fontId="34" fillId="0" borderId="10" xfId="0" applyNumberFormat="1" applyFont="1" applyFill="1" applyBorder="1" applyAlignment="1">
      <alignment shrinkToFit="1"/>
    </xf>
    <xf numFmtId="164" fontId="34" fillId="0" borderId="7" xfId="0" applyNumberFormat="1" applyFont="1" applyBorder="1" applyAlignment="1">
      <alignment shrinkToFit="1"/>
    </xf>
    <xf numFmtId="3" fontId="34" fillId="0" borderId="31" xfId="0" applyNumberFormat="1" applyFont="1" applyFill="1" applyBorder="1" applyAlignment="1">
      <alignment shrinkToFit="1"/>
    </xf>
    <xf numFmtId="164" fontId="34" fillId="0" borderId="8" xfId="0" applyNumberFormat="1" applyFont="1" applyFill="1" applyBorder="1" applyAlignment="1">
      <alignment shrinkToFit="1"/>
    </xf>
    <xf numFmtId="1" fontId="34" fillId="0" borderId="5" xfId="0" applyNumberFormat="1" applyFont="1" applyFill="1" applyBorder="1" applyAlignment="1">
      <alignment shrinkToFit="1"/>
    </xf>
    <xf numFmtId="164" fontId="34" fillId="0" borderId="65" xfId="0" applyNumberFormat="1" applyFont="1" applyFill="1" applyBorder="1" applyAlignment="1">
      <alignment shrinkToFit="1"/>
    </xf>
    <xf numFmtId="165" fontId="34" fillId="0" borderId="48" xfId="0" applyNumberFormat="1" applyFont="1" applyFill="1" applyBorder="1"/>
    <xf numFmtId="2" fontId="31" fillId="0" borderId="48" xfId="0" applyNumberFormat="1" applyFont="1" applyFill="1" applyBorder="1"/>
    <xf numFmtId="166" fontId="2" fillId="2" borderId="4" xfId="0" applyNumberFormat="1" applyFont="1" applyFill="1" applyBorder="1" applyAlignment="1">
      <alignment horizontal="right" vertical="center"/>
    </xf>
    <xf numFmtId="166" fontId="2" fillId="0" borderId="1" xfId="0" applyNumberFormat="1" applyFont="1" applyBorder="1" applyAlignment="1">
      <alignment horizontal="right" vertical="center"/>
    </xf>
    <xf numFmtId="166" fontId="2" fillId="0" borderId="7" xfId="0" applyNumberFormat="1" applyFont="1" applyBorder="1" applyAlignment="1">
      <alignment horizontal="right" vertical="center"/>
    </xf>
    <xf numFmtId="49" fontId="23" fillId="0" borderId="7" xfId="0" applyNumberFormat="1" applyFont="1" applyBorder="1"/>
    <xf numFmtId="49" fontId="23" fillId="0" borderId="30" xfId="0" applyNumberFormat="1" applyFont="1" applyBorder="1"/>
    <xf numFmtId="4" fontId="11" fillId="0" borderId="48" xfId="0" applyNumberFormat="1" applyFont="1" applyFill="1" applyBorder="1"/>
    <xf numFmtId="166" fontId="2" fillId="0" borderId="46" xfId="0" applyNumberFormat="1" applyFont="1" applyFill="1" applyBorder="1" applyAlignment="1">
      <alignment horizontal="center" vertical="center" wrapText="1"/>
    </xf>
    <xf numFmtId="166" fontId="2" fillId="0" borderId="64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164" fontId="10" fillId="0" borderId="31" xfId="0" applyNumberFormat="1" applyFont="1" applyBorder="1" applyAlignment="1">
      <alignment horizontal="center" shrinkToFit="1"/>
    </xf>
    <xf numFmtId="164" fontId="10" fillId="0" borderId="9" xfId="0" applyNumberFormat="1" applyFont="1" applyBorder="1" applyAlignment="1">
      <alignment horizontal="center" shrinkToFit="1"/>
    </xf>
    <xf numFmtId="164" fontId="12" fillId="0" borderId="31" xfId="0" applyNumberFormat="1" applyFont="1" applyBorder="1" applyAlignment="1">
      <alignment horizontal="center" shrinkToFit="1"/>
    </xf>
    <xf numFmtId="164" fontId="12" fillId="0" borderId="9" xfId="0" applyNumberFormat="1" applyFont="1" applyBorder="1" applyAlignment="1">
      <alignment horizontal="center" shrinkToFit="1"/>
    </xf>
    <xf numFmtId="164" fontId="11" fillId="0" borderId="31" xfId="0" applyNumberFormat="1" applyFont="1" applyBorder="1" applyAlignment="1">
      <alignment horizontal="center" shrinkToFit="1"/>
    </xf>
    <xf numFmtId="164" fontId="11" fillId="0" borderId="9" xfId="0" applyNumberFormat="1" applyFont="1" applyBorder="1" applyAlignment="1">
      <alignment horizontal="center" shrinkToFit="1"/>
    </xf>
    <xf numFmtId="165" fontId="11" fillId="0" borderId="48" xfId="0" applyNumberFormat="1" applyFont="1" applyBorder="1" applyAlignment="1">
      <alignment horizontal="center"/>
    </xf>
    <xf numFmtId="165" fontId="10" fillId="0" borderId="48" xfId="0" applyNumberFormat="1" applyFont="1" applyBorder="1" applyAlignment="1">
      <alignment horizontal="center"/>
    </xf>
    <xf numFmtId="1" fontId="10" fillId="0" borderId="31" xfId="0" applyNumberFormat="1" applyFont="1" applyBorder="1" applyAlignment="1">
      <alignment horizontal="center"/>
    </xf>
    <xf numFmtId="1" fontId="10" fillId="0" borderId="9" xfId="0" applyNumberFormat="1" applyFont="1" applyBorder="1" applyAlignment="1">
      <alignment horizontal="center"/>
    </xf>
    <xf numFmtId="1" fontId="12" fillId="0" borderId="31" xfId="0" applyNumberFormat="1" applyFont="1" applyBorder="1" applyAlignment="1">
      <alignment horizontal="center"/>
    </xf>
    <xf numFmtId="1" fontId="12" fillId="0" borderId="9" xfId="0" applyNumberFormat="1" applyFont="1" applyBorder="1" applyAlignment="1">
      <alignment horizontal="center"/>
    </xf>
    <xf numFmtId="165" fontId="10" fillId="0" borderId="69" xfId="0" applyNumberFormat="1" applyFont="1" applyBorder="1" applyAlignment="1">
      <alignment horizontal="left"/>
    </xf>
    <xf numFmtId="165" fontId="10" fillId="0" borderId="72" xfId="0" applyNumberFormat="1" applyFont="1" applyBorder="1" applyAlignment="1">
      <alignment horizontal="left"/>
    </xf>
    <xf numFmtId="165" fontId="10" fillId="0" borderId="40" xfId="0" applyNumberFormat="1" applyFont="1" applyBorder="1" applyAlignment="1">
      <alignment horizontal="left"/>
    </xf>
    <xf numFmtId="165" fontId="10" fillId="0" borderId="65" xfId="0" applyNumberFormat="1" applyFont="1" applyBorder="1" applyAlignment="1">
      <alignment horizontal="left"/>
    </xf>
    <xf numFmtId="49" fontId="10" fillId="0" borderId="48" xfId="0" applyNumberFormat="1" applyFont="1" applyBorder="1" applyAlignment="1">
      <alignment horizontal="center"/>
    </xf>
    <xf numFmtId="165" fontId="12" fillId="0" borderId="31" xfId="0" applyNumberFormat="1" applyFont="1" applyBorder="1" applyAlignment="1">
      <alignment horizontal="left"/>
    </xf>
    <xf numFmtId="165" fontId="12" fillId="0" borderId="9" xfId="0" applyNumberFormat="1" applyFont="1" applyBorder="1" applyAlignment="1">
      <alignment horizontal="left"/>
    </xf>
    <xf numFmtId="1" fontId="11" fillId="0" borderId="50" xfId="0" applyNumberFormat="1" applyFont="1" applyBorder="1" applyAlignment="1">
      <alignment horizontal="center" vertical="center" wrapText="1"/>
    </xf>
    <xf numFmtId="1" fontId="11" fillId="0" borderId="73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" fontId="11" fillId="0" borderId="25" xfId="0" applyNumberFormat="1" applyFont="1" applyBorder="1" applyAlignment="1">
      <alignment horizontal="center" vertical="center" wrapText="1"/>
    </xf>
    <xf numFmtId="165" fontId="11" fillId="0" borderId="45" xfId="0" applyNumberFormat="1" applyFont="1" applyBorder="1" applyAlignment="1">
      <alignment horizontal="center" vertical="center" wrapText="1"/>
    </xf>
    <xf numFmtId="165" fontId="11" fillId="0" borderId="8" xfId="0" applyNumberFormat="1" applyFont="1" applyBorder="1" applyAlignment="1">
      <alignment horizontal="center" vertical="center" wrapText="1"/>
    </xf>
    <xf numFmtId="165" fontId="11" fillId="0" borderId="42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horizontal="center" vertical="center" wrapText="1"/>
    </xf>
    <xf numFmtId="165" fontId="11" fillId="0" borderId="55" xfId="0" applyNumberFormat="1" applyFont="1" applyBorder="1" applyAlignment="1">
      <alignment horizontal="center" vertical="center" wrapText="1"/>
    </xf>
    <xf numFmtId="165" fontId="11" fillId="0" borderId="19" xfId="0" applyNumberFormat="1" applyFont="1" applyBorder="1" applyAlignment="1">
      <alignment horizontal="center" vertical="center" wrapText="1"/>
    </xf>
    <xf numFmtId="165" fontId="10" fillId="0" borderId="59" xfId="0" applyNumberFormat="1" applyFont="1" applyBorder="1" applyAlignment="1">
      <alignment horizontal="center" wrapText="1"/>
    </xf>
    <xf numFmtId="165" fontId="10" fillId="0" borderId="58" xfId="0" applyNumberFormat="1" applyFont="1" applyBorder="1" applyAlignment="1">
      <alignment horizontal="center" wrapText="1"/>
    </xf>
    <xf numFmtId="2" fontId="10" fillId="0" borderId="59" xfId="0" applyNumberFormat="1" applyFont="1" applyBorder="1" applyAlignment="1">
      <alignment horizontal="center" wrapText="1"/>
    </xf>
    <xf numFmtId="2" fontId="10" fillId="0" borderId="58" xfId="0" applyNumberFormat="1" applyFont="1" applyBorder="1" applyAlignment="1">
      <alignment horizontal="center" wrapText="1"/>
    </xf>
    <xf numFmtId="165" fontId="10" fillId="0" borderId="31" xfId="0" applyNumberFormat="1" applyFont="1" applyBorder="1" applyAlignment="1">
      <alignment horizontal="center" wrapText="1"/>
    </xf>
    <xf numFmtId="165" fontId="10" fillId="0" borderId="8" xfId="0" applyNumberFormat="1" applyFont="1" applyBorder="1" applyAlignment="1">
      <alignment horizontal="center" wrapText="1"/>
    </xf>
    <xf numFmtId="165" fontId="10" fillId="0" borderId="48" xfId="0" applyNumberFormat="1" applyFont="1" applyBorder="1" applyAlignment="1">
      <alignment horizontal="center" wrapText="1"/>
    </xf>
    <xf numFmtId="0" fontId="11" fillId="0" borderId="3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2" fontId="11" fillId="0" borderId="46" xfId="0" applyNumberFormat="1" applyFont="1" applyBorder="1" applyAlignment="1">
      <alignment horizontal="center"/>
    </xf>
    <xf numFmtId="2" fontId="11" fillId="0" borderId="70" xfId="0" applyNumberFormat="1" applyFont="1" applyBorder="1" applyAlignment="1">
      <alignment horizontal="center"/>
    </xf>
    <xf numFmtId="2" fontId="11" fillId="0" borderId="64" xfId="0" applyNumberFormat="1" applyFont="1" applyBorder="1" applyAlignment="1">
      <alignment horizontal="center"/>
    </xf>
    <xf numFmtId="0" fontId="11" fillId="0" borderId="50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/>
    </xf>
    <xf numFmtId="2" fontId="11" fillId="0" borderId="66" xfId="0" applyNumberFormat="1" applyFont="1" applyBorder="1" applyAlignment="1">
      <alignment horizontal="center"/>
    </xf>
    <xf numFmtId="2" fontId="11" fillId="0" borderId="17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wrapText="1"/>
    </xf>
    <xf numFmtId="1" fontId="10" fillId="0" borderId="17" xfId="0" applyNumberFormat="1" applyFont="1" applyBorder="1" applyAlignment="1">
      <alignment horizontal="center" wrapText="1"/>
    </xf>
    <xf numFmtId="0" fontId="11" fillId="0" borderId="68" xfId="0" applyFont="1" applyBorder="1" applyAlignment="1">
      <alignment horizontal="center" wrapText="1"/>
    </xf>
    <xf numFmtId="0" fontId="11" fillId="0" borderId="67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68" xfId="0" applyFont="1" applyBorder="1" applyAlignment="1">
      <alignment horizontal="center"/>
    </xf>
    <xf numFmtId="165" fontId="10" fillId="0" borderId="4" xfId="0" applyNumberFormat="1" applyFont="1" applyBorder="1" applyAlignment="1">
      <alignment horizontal="center" vertical="center" wrapText="1"/>
    </xf>
    <xf numFmtId="165" fontId="10" fillId="0" borderId="7" xfId="0" applyNumberFormat="1" applyFont="1" applyBorder="1" applyAlignment="1">
      <alignment horizontal="center" vertical="center" wrapText="1"/>
    </xf>
    <xf numFmtId="165" fontId="10" fillId="0" borderId="25" xfId="0" applyNumberFormat="1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1" fontId="11" fillId="0" borderId="26" xfId="0" applyNumberFormat="1" applyFont="1" applyBorder="1" applyAlignment="1">
      <alignment horizontal="center" vertical="center" wrapText="1"/>
    </xf>
    <xf numFmtId="1" fontId="11" fillId="0" borderId="31" xfId="0" applyNumberFormat="1" applyFont="1" applyBorder="1" applyAlignment="1">
      <alignment horizontal="center" vertical="center" wrapText="1"/>
    </xf>
    <xf numFmtId="1" fontId="11" fillId="0" borderId="27" xfId="0" applyNumberFormat="1" applyFont="1" applyBorder="1" applyAlignment="1">
      <alignment horizontal="center" vertical="center" wrapText="1"/>
    </xf>
    <xf numFmtId="165" fontId="11" fillId="0" borderId="11" xfId="0" applyNumberFormat="1" applyFont="1" applyBorder="1" applyAlignment="1">
      <alignment horizontal="center" vertical="center" wrapText="1"/>
    </xf>
    <xf numFmtId="165" fontId="11" fillId="0" borderId="23" xfId="0" applyNumberFormat="1" applyFont="1" applyBorder="1" applyAlignment="1">
      <alignment horizontal="center" vertical="center" wrapText="1"/>
    </xf>
    <xf numFmtId="2" fontId="11" fillId="0" borderId="48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165" fontId="10" fillId="0" borderId="69" xfId="0" applyNumberFormat="1" applyFont="1" applyBorder="1" applyAlignment="1">
      <alignment horizontal="center" wrapText="1"/>
    </xf>
    <xf numFmtId="165" fontId="10" fillId="0" borderId="72" xfId="0" applyNumberFormat="1" applyFont="1" applyBorder="1" applyAlignment="1">
      <alignment horizontal="center" wrapText="1"/>
    </xf>
    <xf numFmtId="165" fontId="10" fillId="0" borderId="40" xfId="0" applyNumberFormat="1" applyFont="1" applyBorder="1" applyAlignment="1">
      <alignment horizontal="center" wrapText="1"/>
    </xf>
    <xf numFmtId="165" fontId="10" fillId="0" borderId="65" xfId="0" applyNumberFormat="1" applyFont="1" applyBorder="1" applyAlignment="1">
      <alignment horizontal="center" wrapText="1"/>
    </xf>
    <xf numFmtId="165" fontId="13" fillId="0" borderId="31" xfId="0" applyNumberFormat="1" applyFont="1" applyBorder="1" applyAlignment="1">
      <alignment horizontal="left"/>
    </xf>
    <xf numFmtId="165" fontId="13" fillId="0" borderId="9" xfId="0" applyNumberFormat="1" applyFont="1" applyBorder="1" applyAlignment="1">
      <alignment horizontal="left"/>
    </xf>
    <xf numFmtId="165" fontId="11" fillId="0" borderId="31" xfId="0" applyNumberFormat="1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165" fontId="10" fillId="0" borderId="31" xfId="0" applyNumberFormat="1" applyFont="1" applyBorder="1" applyAlignment="1">
      <alignment horizontal="left"/>
    </xf>
    <xf numFmtId="165" fontId="10" fillId="0" borderId="9" xfId="0" applyNumberFormat="1" applyFont="1" applyBorder="1" applyAlignment="1">
      <alignment horizontal="left"/>
    </xf>
    <xf numFmtId="165" fontId="11" fillId="0" borderId="48" xfId="0" applyNumberFormat="1" applyFont="1" applyBorder="1" applyAlignment="1">
      <alignment horizontal="left"/>
    </xf>
    <xf numFmtId="165" fontId="10" fillId="0" borderId="31" xfId="0" applyNumberFormat="1" applyFont="1" applyBorder="1" applyAlignment="1">
      <alignment horizontal="center" shrinkToFit="1"/>
    </xf>
    <xf numFmtId="165" fontId="10" fillId="0" borderId="9" xfId="0" applyNumberFormat="1" applyFont="1" applyBorder="1" applyAlignment="1">
      <alignment horizontal="center" shrinkToFit="1"/>
    </xf>
    <xf numFmtId="165" fontId="12" fillId="0" borderId="31" xfId="0" applyNumberFormat="1" applyFont="1" applyBorder="1" applyAlignment="1">
      <alignment horizontal="center" shrinkToFit="1"/>
    </xf>
    <xf numFmtId="165" fontId="12" fillId="0" borderId="9" xfId="0" applyNumberFormat="1" applyFont="1" applyBorder="1" applyAlignment="1">
      <alignment horizontal="center" shrinkToFit="1"/>
    </xf>
    <xf numFmtId="165" fontId="10" fillId="0" borderId="8" xfId="0" applyNumberFormat="1" applyFont="1" applyBorder="1" applyAlignment="1">
      <alignment horizontal="center" shrinkToFit="1"/>
    </xf>
    <xf numFmtId="165" fontId="10" fillId="0" borderId="9" xfId="0" applyNumberFormat="1" applyFont="1" applyBorder="1" applyAlignment="1">
      <alignment horizontal="center" wrapText="1"/>
    </xf>
    <xf numFmtId="164" fontId="10" fillId="0" borderId="31" xfId="0" applyNumberFormat="1" applyFont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165" fontId="10" fillId="0" borderId="31" xfId="0" applyNumberFormat="1" applyFont="1" applyBorder="1" applyAlignment="1">
      <alignment horizontal="center"/>
    </xf>
    <xf numFmtId="165" fontId="10" fillId="0" borderId="9" xfId="0" applyNumberFormat="1" applyFont="1" applyBorder="1" applyAlignment="1">
      <alignment horizontal="center"/>
    </xf>
    <xf numFmtId="165" fontId="11" fillId="0" borderId="31" xfId="0" applyNumberFormat="1" applyFont="1" applyBorder="1" applyAlignment="1">
      <alignment horizontal="center" shrinkToFit="1"/>
    </xf>
    <xf numFmtId="165" fontId="11" fillId="0" borderId="9" xfId="0" applyNumberFormat="1" applyFont="1" applyBorder="1" applyAlignment="1">
      <alignment horizontal="center" shrinkToFit="1"/>
    </xf>
    <xf numFmtId="165" fontId="11" fillId="0" borderId="16" xfId="0" applyNumberFormat="1" applyFont="1" applyBorder="1" applyAlignment="1">
      <alignment horizontal="center" vertical="center" wrapText="1"/>
    </xf>
    <xf numFmtId="165" fontId="11" fillId="0" borderId="37" xfId="0" applyNumberFormat="1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" fontId="10" fillId="0" borderId="68" xfId="0" applyNumberFormat="1" applyFont="1" applyBorder="1" applyAlignment="1">
      <alignment horizontal="center" wrapText="1"/>
    </xf>
    <xf numFmtId="1" fontId="10" fillId="0" borderId="67" xfId="0" applyNumberFormat="1" applyFont="1" applyBorder="1" applyAlignment="1">
      <alignment horizontal="center" wrapText="1"/>
    </xf>
    <xf numFmtId="0" fontId="11" fillId="0" borderId="41" xfId="0" applyFont="1" applyBorder="1" applyAlignment="1">
      <alignment horizontal="center" vertical="center"/>
    </xf>
    <xf numFmtId="2" fontId="11" fillId="0" borderId="53" xfId="0" applyNumberFormat="1" applyFont="1" applyBorder="1" applyAlignment="1">
      <alignment horizontal="center" vertical="center"/>
    </xf>
    <xf numFmtId="2" fontId="11" fillId="0" borderId="70" xfId="0" applyNumberFormat="1" applyFont="1" applyBorder="1" applyAlignment="1">
      <alignment horizontal="center" vertical="center"/>
    </xf>
    <xf numFmtId="2" fontId="11" fillId="0" borderId="47" xfId="0" applyNumberFormat="1" applyFont="1" applyBorder="1" applyAlignment="1">
      <alignment horizontal="center" vertical="center"/>
    </xf>
    <xf numFmtId="165" fontId="10" fillId="0" borderId="74" xfId="0" applyNumberFormat="1" applyFont="1" applyBorder="1" applyAlignment="1">
      <alignment horizontal="center" vertical="center" wrapText="1"/>
    </xf>
    <xf numFmtId="165" fontId="10" fillId="0" borderId="20" xfId="0" applyNumberFormat="1" applyFont="1" applyBorder="1" applyAlignment="1">
      <alignment horizontal="center" vertical="center" wrapText="1"/>
    </xf>
    <xf numFmtId="165" fontId="10" fillId="0" borderId="49" xfId="0" applyNumberFormat="1" applyFont="1" applyBorder="1" applyAlignment="1">
      <alignment horizontal="center" vertical="center" wrapText="1"/>
    </xf>
    <xf numFmtId="2" fontId="11" fillId="0" borderId="71" xfId="0" applyNumberFormat="1" applyFont="1" applyBorder="1" applyAlignment="1">
      <alignment horizontal="center"/>
    </xf>
    <xf numFmtId="2" fontId="11" fillId="0" borderId="77" xfId="0" applyNumberFormat="1" applyFont="1" applyBorder="1" applyAlignment="1">
      <alignment horizontal="center"/>
    </xf>
    <xf numFmtId="2" fontId="11" fillId="0" borderId="76" xfId="0" applyNumberFormat="1" applyFont="1" applyBorder="1" applyAlignment="1">
      <alignment horizontal="center"/>
    </xf>
    <xf numFmtId="3" fontId="11" fillId="0" borderId="9" xfId="0" applyNumberFormat="1" applyFont="1" applyBorder="1" applyAlignment="1">
      <alignment horizontal="center" vertical="center" wrapText="1"/>
    </xf>
    <xf numFmtId="3" fontId="11" fillId="0" borderId="72" xfId="0" applyNumberFormat="1" applyFont="1" applyBorder="1" applyAlignment="1">
      <alignment horizontal="center" vertical="center" wrapText="1"/>
    </xf>
    <xf numFmtId="3" fontId="11" fillId="0" borderId="31" xfId="0" applyNumberFormat="1" applyFont="1" applyBorder="1" applyAlignment="1">
      <alignment horizontal="center" vertical="center" wrapText="1"/>
    </xf>
    <xf numFmtId="3" fontId="11" fillId="0" borderId="69" xfId="0" applyNumberFormat="1" applyFont="1" applyBorder="1" applyAlignment="1">
      <alignment horizontal="center" vertical="center" wrapText="1"/>
    </xf>
    <xf numFmtId="165" fontId="11" fillId="0" borderId="46" xfId="0" applyNumberFormat="1" applyFont="1" applyBorder="1" applyAlignment="1">
      <alignment horizontal="center" vertical="center" wrapText="1"/>
    </xf>
    <xf numFmtId="165" fontId="11" fillId="0" borderId="75" xfId="0" applyNumberFormat="1" applyFont="1" applyBorder="1" applyAlignment="1">
      <alignment horizontal="center" vertical="center" wrapText="1"/>
    </xf>
    <xf numFmtId="2" fontId="11" fillId="0" borderId="73" xfId="0" applyNumberFormat="1" applyFont="1" applyBorder="1" applyAlignment="1">
      <alignment horizontal="center" vertical="center" wrapText="1"/>
    </xf>
    <xf numFmtId="2" fontId="11" fillId="0" borderId="74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/>
    </xf>
    <xf numFmtId="1" fontId="11" fillId="0" borderId="28" xfId="0" applyNumberFormat="1" applyFont="1" applyBorder="1" applyAlignment="1">
      <alignment horizontal="center" vertical="center" wrapText="1"/>
    </xf>
    <xf numFmtId="165" fontId="11" fillId="0" borderId="74" xfId="0" applyNumberFormat="1" applyFont="1" applyBorder="1" applyAlignment="1">
      <alignment horizontal="center" vertical="center" wrapText="1"/>
    </xf>
    <xf numFmtId="165" fontId="11" fillId="0" borderId="20" xfId="0" applyNumberFormat="1" applyFont="1" applyBorder="1" applyAlignment="1">
      <alignment horizontal="center" vertical="center" wrapText="1"/>
    </xf>
    <xf numFmtId="165" fontId="11" fillId="0" borderId="49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 wrapText="1"/>
    </xf>
    <xf numFmtId="2" fontId="11" fillId="0" borderId="67" xfId="0" applyNumberFormat="1" applyFont="1" applyBorder="1" applyAlignment="1">
      <alignment horizontal="center"/>
    </xf>
    <xf numFmtId="3" fontId="11" fillId="0" borderId="50" xfId="0" applyNumberFormat="1" applyFont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0" borderId="66" xfId="0" applyNumberFormat="1" applyFont="1" applyBorder="1" applyAlignment="1">
      <alignment horizontal="center" vertical="center"/>
    </xf>
    <xf numFmtId="2" fontId="11" fillId="0" borderId="17" xfId="0" applyNumberFormat="1" applyFont="1" applyBorder="1" applyAlignment="1">
      <alignment horizontal="center" vertical="center"/>
    </xf>
    <xf numFmtId="2" fontId="11" fillId="0" borderId="68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165" fontId="11" fillId="0" borderId="12" xfId="0" applyNumberFormat="1" applyFont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center" vertical="center" wrapText="1"/>
    </xf>
    <xf numFmtId="3" fontId="11" fillId="0" borderId="18" xfId="0" applyNumberFormat="1" applyFont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2" fontId="11" fillId="0" borderId="31" xfId="0" applyNumberFormat="1" applyFont="1" applyBorder="1" applyAlignment="1">
      <alignment horizontal="center" vertical="center" wrapText="1"/>
    </xf>
    <xf numFmtId="2" fontId="11" fillId="0" borderId="20" xfId="0" applyNumberFormat="1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wrapText="1"/>
    </xf>
    <xf numFmtId="1" fontId="10" fillId="0" borderId="6" xfId="0" applyNumberFormat="1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38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1" fontId="11" fillId="0" borderId="45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65" xfId="0" applyFont="1" applyBorder="1" applyAlignment="1">
      <alignment horizontal="center" wrapText="1"/>
    </xf>
    <xf numFmtId="0" fontId="11" fillId="0" borderId="40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5" fontId="11" fillId="0" borderId="4" xfId="0" applyNumberFormat="1" applyFont="1" applyBorder="1" applyAlignment="1">
      <alignment horizontal="center" vertical="center" wrapText="1"/>
    </xf>
    <xf numFmtId="165" fontId="11" fillId="0" borderId="7" xfId="0" applyNumberFormat="1" applyFont="1" applyBorder="1" applyAlignment="1">
      <alignment horizontal="center" vertical="center" wrapText="1"/>
    </xf>
    <xf numFmtId="165" fontId="11" fillId="0" borderId="39" xfId="0" applyNumberFormat="1" applyFont="1" applyBorder="1" applyAlignment="1">
      <alignment horizontal="center" vertical="center" wrapText="1"/>
    </xf>
    <xf numFmtId="166" fontId="11" fillId="0" borderId="31" xfId="0" applyNumberFormat="1" applyFont="1" applyFill="1" applyBorder="1" applyAlignment="1">
      <alignment horizontal="center" vertical="center" wrapText="1"/>
    </xf>
    <xf numFmtId="166" fontId="11" fillId="0" borderId="8" xfId="0" applyNumberFormat="1" applyFont="1" applyFill="1" applyBorder="1" applyAlignment="1">
      <alignment horizontal="center" vertical="center" wrapText="1"/>
    </xf>
    <xf numFmtId="166" fontId="11" fillId="0" borderId="9" xfId="0" applyNumberFormat="1" applyFont="1" applyFill="1" applyBorder="1" applyAlignment="1">
      <alignment horizontal="center" vertical="center" wrapText="1"/>
    </xf>
    <xf numFmtId="166" fontId="36" fillId="27" borderId="69" xfId="0" applyNumberFormat="1" applyFont="1" applyFill="1" applyBorder="1" applyAlignment="1">
      <alignment horizontal="center" textRotation="90"/>
    </xf>
    <xf numFmtId="166" fontId="36" fillId="27" borderId="76" xfId="0" applyNumberFormat="1" applyFont="1" applyFill="1" applyBorder="1" applyAlignment="1">
      <alignment horizontal="center" textRotation="90"/>
    </xf>
    <xf numFmtId="166" fontId="36" fillId="27" borderId="40" xfId="0" applyNumberFormat="1" applyFont="1" applyFill="1" applyBorder="1" applyAlignment="1">
      <alignment horizontal="center" textRotation="90"/>
    </xf>
    <xf numFmtId="166" fontId="36" fillId="28" borderId="48" xfId="0" applyNumberFormat="1" applyFont="1" applyFill="1" applyBorder="1" applyAlignment="1">
      <alignment horizontal="center" textRotation="90"/>
    </xf>
    <xf numFmtId="165" fontId="36" fillId="27" borderId="69" xfId="0" applyNumberFormat="1" applyFont="1" applyFill="1" applyBorder="1" applyAlignment="1">
      <alignment horizontal="center" textRotation="90"/>
    </xf>
    <xf numFmtId="165" fontId="36" fillId="27" borderId="76" xfId="0" applyNumberFormat="1" applyFont="1" applyFill="1" applyBorder="1" applyAlignment="1">
      <alignment horizontal="center" textRotation="90"/>
    </xf>
    <xf numFmtId="165" fontId="36" fillId="27" borderId="40" xfId="0" applyNumberFormat="1" applyFont="1" applyFill="1" applyBorder="1" applyAlignment="1">
      <alignment horizontal="center" textRotation="90"/>
    </xf>
    <xf numFmtId="165" fontId="36" fillId="28" borderId="48" xfId="0" applyNumberFormat="1" applyFont="1" applyFill="1" applyBorder="1" applyAlignment="1">
      <alignment horizontal="center" textRotation="90"/>
    </xf>
    <xf numFmtId="165" fontId="36" fillId="0" borderId="69" xfId="0" applyNumberFormat="1" applyFont="1" applyFill="1" applyBorder="1" applyAlignment="1">
      <alignment horizontal="center" textRotation="90"/>
    </xf>
    <xf numFmtId="165" fontId="36" fillId="0" borderId="76" xfId="0" applyNumberFormat="1" applyFont="1" applyFill="1" applyBorder="1" applyAlignment="1">
      <alignment horizontal="center" textRotation="90"/>
    </xf>
    <xf numFmtId="165" fontId="36" fillId="0" borderId="40" xfId="0" applyNumberFormat="1" applyFont="1" applyFill="1" applyBorder="1" applyAlignment="1">
      <alignment horizontal="center" textRotation="90"/>
    </xf>
    <xf numFmtId="165" fontId="11" fillId="0" borderId="31" xfId="0" applyNumberFormat="1" applyFont="1" applyFill="1" applyBorder="1" applyAlignment="1">
      <alignment horizontal="center" vertical="center" wrapText="1"/>
    </xf>
    <xf numFmtId="165" fontId="11" fillId="0" borderId="8" xfId="0" applyNumberFormat="1" applyFont="1" applyFill="1" applyBorder="1" applyAlignment="1">
      <alignment horizontal="center" vertical="center" wrapText="1"/>
    </xf>
    <xf numFmtId="165" fontId="11" fillId="0" borderId="9" xfId="0" applyNumberFormat="1" applyFont="1" applyFill="1" applyBorder="1" applyAlignment="1">
      <alignment horizontal="center" vertical="center" wrapText="1"/>
    </xf>
    <xf numFmtId="165" fontId="36" fillId="28" borderId="77" xfId="0" applyNumberFormat="1" applyFont="1" applyFill="1" applyBorder="1" applyAlignment="1">
      <alignment horizontal="center" textRotation="90"/>
    </xf>
    <xf numFmtId="165" fontId="36" fillId="28" borderId="58" xfId="0" applyNumberFormat="1" applyFont="1" applyFill="1" applyBorder="1" applyAlignment="1">
      <alignment horizontal="center" textRotation="90"/>
    </xf>
    <xf numFmtId="165" fontId="12" fillId="0" borderId="16" xfId="0" applyNumberFormat="1" applyFont="1" applyFill="1" applyBorder="1" applyAlignment="1">
      <alignment horizontal="center" vertical="center" wrapText="1"/>
    </xf>
    <xf numFmtId="165" fontId="12" fillId="0" borderId="37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165" fontId="10" fillId="0" borderId="16" xfId="0" applyNumberFormat="1" applyFont="1" applyFill="1" applyBorder="1" applyAlignment="1">
      <alignment horizontal="center" vertical="center"/>
    </xf>
    <xf numFmtId="165" fontId="10" fillId="0" borderId="37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165" fontId="36" fillId="27" borderId="59" xfId="0" applyNumberFormat="1" applyFont="1" applyFill="1" applyBorder="1" applyAlignment="1">
      <alignment horizontal="center" textRotation="90"/>
    </xf>
    <xf numFmtId="165" fontId="36" fillId="27" borderId="77" xfId="0" applyNumberFormat="1" applyFont="1" applyFill="1" applyBorder="1" applyAlignment="1">
      <alignment horizontal="center" textRotation="90"/>
    </xf>
    <xf numFmtId="165" fontId="36" fillId="27" borderId="58" xfId="0" applyNumberFormat="1" applyFont="1" applyFill="1" applyBorder="1" applyAlignment="1">
      <alignment horizontal="center" textRotation="90"/>
    </xf>
    <xf numFmtId="0" fontId="5" fillId="0" borderId="3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166" fontId="51" fillId="0" borderId="29" xfId="0" applyNumberFormat="1" applyFont="1" applyBorder="1" applyAlignment="1">
      <alignment horizontal="left" vertical="center" wrapText="1"/>
    </xf>
    <xf numFmtId="166" fontId="11" fillId="26" borderId="35" xfId="0" applyNumberFormat="1" applyFont="1" applyFill="1" applyBorder="1" applyAlignment="1">
      <alignment horizontal="center" vertical="center" wrapText="1"/>
    </xf>
    <xf numFmtId="166" fontId="11" fillId="26" borderId="14" xfId="0" applyNumberFormat="1" applyFont="1" applyFill="1" applyBorder="1" applyAlignment="1">
      <alignment horizontal="center" vertical="center" wrapText="1"/>
    </xf>
    <xf numFmtId="166" fontId="11" fillId="13" borderId="39" xfId="0" applyNumberFormat="1" applyFont="1" applyFill="1" applyBorder="1" applyAlignment="1">
      <alignment horizontal="center" vertical="center" wrapText="1"/>
    </xf>
    <xf numFmtId="166" fontId="11" fillId="13" borderId="45" xfId="0" applyNumberFormat="1" applyFont="1" applyFill="1" applyBorder="1" applyAlignment="1">
      <alignment horizontal="center" vertical="center" wrapText="1"/>
    </xf>
    <xf numFmtId="166" fontId="11" fillId="13" borderId="74" xfId="0" applyNumberFormat="1" applyFont="1" applyFill="1" applyBorder="1" applyAlignment="1">
      <alignment horizontal="center" vertical="center" wrapText="1"/>
    </xf>
    <xf numFmtId="166" fontId="11" fillId="16" borderId="34" xfId="0" applyNumberFormat="1" applyFont="1" applyFill="1" applyBorder="1" applyAlignment="1">
      <alignment horizontal="center" vertical="center" wrapText="1"/>
    </xf>
    <xf numFmtId="166" fontId="11" fillId="16" borderId="36" xfId="0" applyNumberFormat="1" applyFont="1" applyFill="1" applyBorder="1" applyAlignment="1">
      <alignment horizontal="center" vertical="center" wrapText="1"/>
    </xf>
    <xf numFmtId="166" fontId="11" fillId="16" borderId="54" xfId="0" applyNumberFormat="1" applyFont="1" applyFill="1" applyBorder="1" applyAlignment="1">
      <alignment horizontal="center" vertical="center" wrapText="1"/>
    </xf>
    <xf numFmtId="166" fontId="11" fillId="16" borderId="43" xfId="0" applyNumberFormat="1" applyFont="1" applyFill="1" applyBorder="1" applyAlignment="1">
      <alignment horizontal="center" vertical="center" wrapText="1"/>
    </xf>
    <xf numFmtId="166" fontId="11" fillId="16" borderId="0" xfId="0" applyNumberFormat="1" applyFont="1" applyFill="1" applyBorder="1" applyAlignment="1">
      <alignment horizontal="center" vertical="center" wrapText="1"/>
    </xf>
    <xf numFmtId="166" fontId="8" fillId="0" borderId="29" xfId="0" applyNumberFormat="1" applyFont="1" applyBorder="1" applyAlignment="1">
      <alignment horizontal="left" vertical="center" wrapText="1"/>
    </xf>
    <xf numFmtId="166" fontId="11" fillId="0" borderId="54" xfId="0" applyNumberFormat="1" applyFont="1" applyBorder="1" applyAlignment="1">
      <alignment horizontal="center" vertical="center" wrapText="1"/>
    </xf>
    <xf numFmtId="166" fontId="11" fillId="0" borderId="52" xfId="0" applyNumberFormat="1" applyFont="1" applyBorder="1" applyAlignment="1">
      <alignment horizontal="center" vertical="center" wrapText="1"/>
    </xf>
    <xf numFmtId="166" fontId="11" fillId="14" borderId="35" xfId="0" applyNumberFormat="1" applyFont="1" applyFill="1" applyBorder="1" applyAlignment="1">
      <alignment horizontal="center" vertical="center" wrapText="1"/>
    </xf>
    <xf numFmtId="166" fontId="11" fillId="14" borderId="14" xfId="0" applyNumberFormat="1" applyFont="1" applyFill="1" applyBorder="1" applyAlignment="1">
      <alignment horizontal="center" vertical="center" wrapText="1"/>
    </xf>
    <xf numFmtId="166" fontId="11" fillId="13" borderId="16" xfId="0" applyNumberFormat="1" applyFont="1" applyFill="1" applyBorder="1" applyAlignment="1">
      <alignment horizontal="center" vertical="center" wrapText="1"/>
    </xf>
    <xf numFmtId="166" fontId="11" fillId="13" borderId="37" xfId="0" applyNumberFormat="1" applyFont="1" applyFill="1" applyBorder="1" applyAlignment="1">
      <alignment horizontal="center" vertical="center" wrapText="1"/>
    </xf>
    <xf numFmtId="166" fontId="11" fillId="13" borderId="3" xfId="0" applyNumberFormat="1" applyFont="1" applyFill="1" applyBorder="1" applyAlignment="1">
      <alignment horizontal="center" vertical="center" wrapText="1"/>
    </xf>
    <xf numFmtId="166" fontId="9" fillId="0" borderId="67" xfId="0" applyNumberFormat="1" applyFont="1" applyBorder="1" applyAlignment="1">
      <alignment horizontal="center" vertical="center" wrapText="1"/>
    </xf>
    <xf numFmtId="166" fontId="9" fillId="0" borderId="37" xfId="0" applyNumberFormat="1" applyFont="1" applyBorder="1" applyAlignment="1">
      <alignment horizontal="center" vertical="center" wrapText="1"/>
    </xf>
    <xf numFmtId="166" fontId="9" fillId="0" borderId="68" xfId="0" applyNumberFormat="1" applyFont="1" applyBorder="1" applyAlignment="1">
      <alignment horizontal="center" vertical="center" wrapText="1"/>
    </xf>
    <xf numFmtId="166" fontId="11" fillId="13" borderId="35" xfId="0" applyNumberFormat="1" applyFont="1" applyFill="1" applyBorder="1" applyAlignment="1">
      <alignment horizontal="center" vertical="center" wrapText="1"/>
    </xf>
    <xf numFmtId="166" fontId="11" fillId="13" borderId="14" xfId="0" applyNumberFormat="1" applyFont="1" applyFill="1" applyBorder="1" applyAlignment="1">
      <alignment horizontal="center" vertical="center" wrapText="1"/>
    </xf>
    <xf numFmtId="166" fontId="9" fillId="0" borderId="16" xfId="0" applyNumberFormat="1" applyFont="1" applyBorder="1" applyAlignment="1">
      <alignment horizontal="center" vertical="center" wrapText="1"/>
    </xf>
    <xf numFmtId="166" fontId="10" fillId="13" borderId="16" xfId="0" applyNumberFormat="1" applyFont="1" applyFill="1" applyBorder="1" applyAlignment="1">
      <alignment horizontal="center" vertical="center" wrapText="1"/>
    </xf>
    <xf numFmtId="166" fontId="10" fillId="13" borderId="37" xfId="0" applyNumberFormat="1" applyFont="1" applyFill="1" applyBorder="1" applyAlignment="1">
      <alignment horizontal="center" vertical="center" wrapText="1"/>
    </xf>
    <xf numFmtId="166" fontId="10" fillId="13" borderId="3" xfId="0" applyNumberFormat="1" applyFont="1" applyFill="1" applyBorder="1" applyAlignment="1">
      <alignment horizontal="center" vertical="center" wrapText="1"/>
    </xf>
    <xf numFmtId="166" fontId="10" fillId="0" borderId="34" xfId="0" applyNumberFormat="1" applyFont="1" applyBorder="1" applyAlignment="1">
      <alignment horizontal="center" vertical="center"/>
    </xf>
    <xf numFmtId="166" fontId="10" fillId="0" borderId="22" xfId="0" applyNumberFormat="1" applyFont="1" applyBorder="1" applyAlignment="1">
      <alignment horizontal="center" vertical="center"/>
    </xf>
    <xf numFmtId="166" fontId="10" fillId="0" borderId="35" xfId="0" applyNumberFormat="1" applyFont="1" applyBorder="1" applyAlignment="1">
      <alignment horizontal="center" vertical="center"/>
    </xf>
    <xf numFmtId="166" fontId="10" fillId="0" borderId="14" xfId="0" applyNumberFormat="1" applyFont="1" applyBorder="1" applyAlignment="1">
      <alignment horizontal="center" vertical="center"/>
    </xf>
    <xf numFmtId="166" fontId="11" fillId="26" borderId="54" xfId="0" applyNumberFormat="1" applyFont="1" applyFill="1" applyBorder="1" applyAlignment="1">
      <alignment horizontal="center" vertical="center" wrapText="1"/>
    </xf>
    <xf numFmtId="166" fontId="11" fillId="26" borderId="57" xfId="0" applyNumberFormat="1" applyFont="1" applyFill="1" applyBorder="1" applyAlignment="1">
      <alignment horizontal="center" vertical="center" wrapText="1"/>
    </xf>
    <xf numFmtId="166" fontId="9" fillId="14" borderId="16" xfId="0" applyNumberFormat="1" applyFont="1" applyFill="1" applyBorder="1" applyAlignment="1">
      <alignment horizontal="center" vertical="center" wrapText="1"/>
    </xf>
    <xf numFmtId="166" fontId="9" fillId="14" borderId="37" xfId="0" applyNumberFormat="1" applyFont="1" applyFill="1" applyBorder="1" applyAlignment="1">
      <alignment horizontal="center" vertical="center" wrapText="1"/>
    </xf>
    <xf numFmtId="166" fontId="9" fillId="14" borderId="3" xfId="0" applyNumberFormat="1" applyFont="1" applyFill="1" applyBorder="1" applyAlignment="1">
      <alignment horizontal="center" vertical="center" wrapText="1"/>
    </xf>
    <xf numFmtId="166" fontId="11" fillId="0" borderId="35" xfId="0" applyNumberFormat="1" applyFont="1" applyFill="1" applyBorder="1" applyAlignment="1">
      <alignment horizontal="center" vertical="center" wrapText="1"/>
    </xf>
    <xf numFmtId="166" fontId="11" fillId="0" borderId="14" xfId="0" applyNumberFormat="1" applyFont="1" applyFill="1" applyBorder="1" applyAlignment="1">
      <alignment horizontal="center" vertical="center" wrapText="1"/>
    </xf>
    <xf numFmtId="165" fontId="55" fillId="0" borderId="16" xfId="0" applyNumberFormat="1" applyFont="1" applyFill="1" applyBorder="1" applyAlignment="1">
      <alignment horizontal="center" vertical="center" wrapText="1"/>
    </xf>
    <xf numFmtId="165" fontId="55" fillId="0" borderId="37" xfId="0" applyNumberFormat="1" applyFont="1" applyFill="1" applyBorder="1" applyAlignment="1">
      <alignment horizontal="center" vertical="center" wrapText="1"/>
    </xf>
    <xf numFmtId="165" fontId="55" fillId="0" borderId="3" xfId="0" applyNumberFormat="1" applyFont="1" applyFill="1" applyBorder="1" applyAlignment="1">
      <alignment horizontal="center" vertical="center" wrapText="1"/>
    </xf>
    <xf numFmtId="165" fontId="55" fillId="0" borderId="35" xfId="0" applyNumberFormat="1" applyFont="1" applyFill="1" applyBorder="1" applyAlignment="1">
      <alignment horizontal="center" vertical="center" textRotation="90" wrapText="1"/>
    </xf>
    <xf numFmtId="165" fontId="55" fillId="0" borderId="44" xfId="0" applyNumberFormat="1" applyFont="1" applyFill="1" applyBorder="1" applyAlignment="1">
      <alignment horizontal="center" vertical="center" textRotation="90" wrapText="1"/>
    </xf>
    <xf numFmtId="165" fontId="55" fillId="0" borderId="14" xfId="0" applyNumberFormat="1" applyFont="1" applyFill="1" applyBorder="1" applyAlignment="1">
      <alignment horizontal="center" vertical="center" textRotation="90" wrapText="1"/>
    </xf>
    <xf numFmtId="165" fontId="23" fillId="27" borderId="35" xfId="0" applyNumberFormat="1" applyFont="1" applyFill="1" applyBorder="1" applyAlignment="1">
      <alignment horizontal="center" vertical="center" textRotation="90"/>
    </xf>
    <xf numFmtId="165" fontId="23" fillId="27" borderId="44" xfId="0" applyNumberFormat="1" applyFont="1" applyFill="1" applyBorder="1" applyAlignment="1">
      <alignment horizontal="center" vertical="center" textRotation="90"/>
    </xf>
    <xf numFmtId="165" fontId="23" fillId="27" borderId="14" xfId="0" applyNumberFormat="1" applyFont="1" applyFill="1" applyBorder="1" applyAlignment="1">
      <alignment horizontal="center" vertical="center" textRotation="90"/>
    </xf>
    <xf numFmtId="165" fontId="55" fillId="0" borderId="54" xfId="0" applyNumberFormat="1" applyFont="1" applyFill="1" applyBorder="1" applyAlignment="1">
      <alignment horizontal="center" vertical="center" textRotation="90" wrapText="1"/>
    </xf>
    <xf numFmtId="165" fontId="55" fillId="0" borderId="60" xfId="0" applyNumberFormat="1" applyFont="1" applyFill="1" applyBorder="1" applyAlignment="1">
      <alignment horizontal="center" vertical="center" textRotation="90" wrapText="1"/>
    </xf>
    <xf numFmtId="165" fontId="55" fillId="0" borderId="57" xfId="0" applyNumberFormat="1" applyFont="1" applyFill="1" applyBorder="1" applyAlignment="1">
      <alignment horizontal="center" vertical="center" textRotation="90" wrapText="1"/>
    </xf>
    <xf numFmtId="0" fontId="17" fillId="0" borderId="1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top"/>
    </xf>
    <xf numFmtId="0" fontId="3" fillId="0" borderId="7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12" xfId="0" applyFont="1" applyFill="1" applyBorder="1" applyAlignment="1">
      <alignment horizontal="left" vertical="center"/>
    </xf>
    <xf numFmtId="0" fontId="3" fillId="0" borderId="7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20" fillId="0" borderId="16" xfId="0" applyFont="1" applyFill="1" applyBorder="1" applyAlignment="1">
      <alignment horizontal="center" vertical="top"/>
    </xf>
    <xf numFmtId="0" fontId="20" fillId="0" borderId="37" xfId="0" applyFont="1" applyFill="1" applyBorder="1" applyAlignment="1">
      <alignment horizontal="center" vertical="top"/>
    </xf>
    <xf numFmtId="0" fontId="3" fillId="0" borderId="1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top"/>
    </xf>
    <xf numFmtId="0" fontId="3" fillId="0" borderId="75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75" xfId="0" applyFont="1" applyBorder="1" applyAlignment="1">
      <alignment horizontal="left" vertical="top"/>
    </xf>
    <xf numFmtId="0" fontId="2" fillId="0" borderId="62" xfId="0" applyFont="1" applyBorder="1" applyAlignment="1">
      <alignment horizontal="left" vertical="top"/>
    </xf>
    <xf numFmtId="0" fontId="3" fillId="0" borderId="75" xfId="0" applyFont="1" applyBorder="1" applyAlignment="1">
      <alignment horizontal="left" vertical="center" wrapText="1"/>
    </xf>
    <xf numFmtId="0" fontId="11" fillId="16" borderId="39" xfId="0" applyFont="1" applyFill="1" applyBorder="1" applyAlignment="1">
      <alignment horizontal="center" vertical="center" wrapText="1"/>
    </xf>
    <xf numFmtId="0" fontId="11" fillId="16" borderId="45" xfId="0" applyFont="1" applyFill="1" applyBorder="1" applyAlignment="1">
      <alignment horizontal="center" vertical="center" wrapText="1"/>
    </xf>
    <xf numFmtId="0" fontId="9" fillId="14" borderId="16" xfId="0" applyFont="1" applyFill="1" applyBorder="1" applyAlignment="1">
      <alignment horizontal="center" vertical="center" wrapText="1"/>
    </xf>
    <xf numFmtId="0" fontId="9" fillId="14" borderId="37" xfId="0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14" borderId="35" xfId="0" applyFont="1" applyFill="1" applyBorder="1" applyAlignment="1">
      <alignment horizontal="center" vertical="center" wrapText="1"/>
    </xf>
    <xf numFmtId="0" fontId="11" fillId="14" borderId="14" xfId="0" applyFont="1" applyFill="1" applyBorder="1" applyAlignment="1">
      <alignment horizontal="center" vertical="center" wrapText="1"/>
    </xf>
    <xf numFmtId="0" fontId="10" fillId="13" borderId="16" xfId="0" applyFont="1" applyFill="1" applyBorder="1" applyAlignment="1">
      <alignment horizontal="center" vertical="center" wrapText="1"/>
    </xf>
    <xf numFmtId="0" fontId="10" fillId="13" borderId="37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wrapText="1"/>
    </xf>
    <xf numFmtId="0" fontId="11" fillId="13" borderId="16" xfId="0" applyFont="1" applyFill="1" applyBorder="1" applyAlignment="1">
      <alignment horizontal="center" vertical="center" wrapText="1"/>
    </xf>
    <xf numFmtId="0" fontId="11" fillId="13" borderId="37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51" fillId="0" borderId="29" xfId="0" applyFont="1" applyBorder="1" applyAlignment="1">
      <alignment horizontal="left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11" fillId="26" borderId="35" xfId="0" applyFont="1" applyFill="1" applyBorder="1" applyAlignment="1">
      <alignment horizontal="center" vertical="center" wrapText="1"/>
    </xf>
    <xf numFmtId="0" fontId="11" fillId="26" borderId="14" xfId="0" applyFont="1" applyFill="1" applyBorder="1" applyAlignment="1">
      <alignment horizontal="center" vertical="center" wrapText="1"/>
    </xf>
    <xf numFmtId="0" fontId="11" fillId="26" borderId="54" xfId="0" applyFont="1" applyFill="1" applyBorder="1" applyAlignment="1">
      <alignment horizontal="center" vertical="center" wrapText="1"/>
    </xf>
    <xf numFmtId="0" fontId="11" fillId="26" borderId="57" xfId="0" applyFont="1" applyFill="1" applyBorder="1" applyAlignment="1">
      <alignment horizontal="center" vertical="center" wrapText="1"/>
    </xf>
    <xf numFmtId="0" fontId="11" fillId="13" borderId="35" xfId="0" applyFont="1" applyFill="1" applyBorder="1" applyAlignment="1">
      <alignment horizontal="center" vertical="center" wrapText="1"/>
    </xf>
    <xf numFmtId="0" fontId="11" fillId="13" borderId="14" xfId="0" applyFont="1" applyFill="1" applyBorder="1" applyAlignment="1">
      <alignment horizontal="center" vertical="center" wrapText="1"/>
    </xf>
    <xf numFmtId="0" fontId="11" fillId="13" borderId="39" xfId="0" applyFont="1" applyFill="1" applyBorder="1" applyAlignment="1">
      <alignment horizontal="center" vertical="center" wrapText="1"/>
    </xf>
    <xf numFmtId="0" fontId="11" fillId="13" borderId="45" xfId="0" applyFont="1" applyFill="1" applyBorder="1" applyAlignment="1">
      <alignment horizontal="center" vertical="center" wrapText="1"/>
    </xf>
    <xf numFmtId="0" fontId="11" fillId="13" borderId="74" xfId="0" applyFont="1" applyFill="1" applyBorder="1" applyAlignment="1">
      <alignment horizontal="center" vertical="center" wrapText="1"/>
    </xf>
    <xf numFmtId="0" fontId="11" fillId="16" borderId="34" xfId="0" applyFont="1" applyFill="1" applyBorder="1" applyAlignment="1">
      <alignment horizontal="center" vertical="center" wrapText="1"/>
    </xf>
    <xf numFmtId="0" fontId="11" fillId="16" borderId="36" xfId="0" applyFont="1" applyFill="1" applyBorder="1" applyAlignment="1">
      <alignment horizontal="center" vertical="center" wrapText="1"/>
    </xf>
    <xf numFmtId="0" fontId="11" fillId="16" borderId="54" xfId="0" applyFont="1" applyFill="1" applyBorder="1" applyAlignment="1">
      <alignment horizontal="center" vertical="center" wrapText="1"/>
    </xf>
    <xf numFmtId="165" fontId="55" fillId="0" borderId="34" xfId="0" applyNumberFormat="1" applyFont="1" applyFill="1" applyBorder="1" applyAlignment="1">
      <alignment horizontal="center" vertical="center" textRotation="90" wrapText="1"/>
    </xf>
    <xf numFmtId="165" fontId="55" fillId="0" borderId="43" xfId="0" applyNumberFormat="1" applyFont="1" applyFill="1" applyBorder="1" applyAlignment="1">
      <alignment horizontal="center" vertical="center" textRotation="90" wrapText="1"/>
    </xf>
    <xf numFmtId="165" fontId="55" fillId="0" borderId="22" xfId="0" applyNumberFormat="1" applyFont="1" applyFill="1" applyBorder="1" applyAlignment="1">
      <alignment horizontal="center" vertical="center" textRotation="90" wrapText="1"/>
    </xf>
    <xf numFmtId="166" fontId="12" fillId="2" borderId="16" xfId="1" applyNumberFormat="1" applyFont="1" applyFill="1" applyBorder="1" applyAlignment="1">
      <alignment horizontal="center" vertical="center"/>
    </xf>
    <xf numFmtId="166" fontId="10" fillId="2" borderId="37" xfId="1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3"/>
    <cellStyle name="Обычный_Бюджет Шувалово МАРТ план" xfId="1"/>
    <cellStyle name="Процентный" xfId="4" builtinId="5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_econom/&#1056;&#1072;&#1073;&#1086;&#1095;&#1080;&#1081;%20&#1089;&#1090;&#1086;&#1083;/2017%20&#1075;&#1086;&#1076;/3%20&#1082;&#1074;&#1072;&#1088;&#1090;&#1072;&#1083;/&#1041;&#1102;&#1076;&#1078;&#1077;&#1090;%20&#1085;&#1072;%209%20&#1084;&#1077;&#1089;&#1103;&#1094;&#1077;&#1074;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_econom/&#1056;&#1072;&#1073;&#1086;&#1095;&#1080;&#1081;%20&#1089;&#1090;&#1086;&#1083;/2017%20&#1075;&#1086;&#1076;/4%20&#1082;&#1074;&#1072;&#1088;&#1090;&#1072;&#1083;/&#1041;&#1102;&#1076;&#1078;&#1077;&#1090;%20&#1085;&#1072;%204%20&#1082;&#1074;&#1072;&#1088;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_econom/&#1056;&#1072;&#1073;&#1086;&#1095;&#1080;&#1081;%20&#1089;&#1090;&#1086;&#1083;/2017%20&#1075;&#1086;&#1076;/3%20&#1082;&#1074;&#1072;&#1088;&#1090;&#1072;&#1083;/&#1050;&#1072;&#1083;&#1100;&#1082;&#1091;&#1083;&#1103;&#1094;&#1080;&#1103;%20&#1087;&#1083;&#1072;&#1085;%20&#1085;&#1072;%209%20&#1084;&#1077;&#1089;&#1103;&#1094;&#1077;&#1074;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_econom/&#1056;&#1072;&#1073;&#1086;&#1095;&#1080;&#1081;%20&#1089;&#1090;&#1086;&#1083;/2017%20&#1075;&#1086;&#1076;/4%20&#1082;&#1074;&#1072;&#1088;&#1090;&#1072;&#1083;/&#1050;&#1072;&#1083;&#1100;&#1082;&#1091;&#1083;&#1103;&#1094;&#1080;&#1103;%20&#1087;&#1083;&#1072;&#1085;%20&#1085;&#1072;%204%20&#1082;&#1074;&#1072;&#1088;%20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-во Шув-1"/>
      <sheetName val="св-во Шув-2"/>
      <sheetName val="КРС"/>
      <sheetName val="реализация"/>
      <sheetName val="затраты вспом."/>
      <sheetName val="затраты св-во Шув-1"/>
      <sheetName val="затраты св-во шув-2"/>
      <sheetName val="затраты КРС"/>
      <sheetName val="пром.пр-во"/>
      <sheetName val="произ.затраты"/>
      <sheetName val="БДДС"/>
      <sheetName val="БДР"/>
      <sheetName val="сводная"/>
      <sheetName val="св-во Шув-4"/>
    </sheetNames>
    <sheetDataSet>
      <sheetData sheetId="0">
        <row r="7">
          <cell r="B7">
            <v>10</v>
          </cell>
          <cell r="C7">
            <v>2.2000000000000002</v>
          </cell>
          <cell r="J7">
            <v>2</v>
          </cell>
          <cell r="K7">
            <v>0.4</v>
          </cell>
          <cell r="M7">
            <v>0</v>
          </cell>
          <cell r="N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AB7">
            <v>2759.5</v>
          </cell>
        </row>
        <row r="10">
          <cell r="B10">
            <v>638</v>
          </cell>
          <cell r="C10">
            <v>98.311999999999998</v>
          </cell>
          <cell r="J10">
            <v>230</v>
          </cell>
          <cell r="K10">
            <v>34.769999999999996</v>
          </cell>
          <cell r="M10">
            <v>235</v>
          </cell>
          <cell r="N10">
            <v>35.25</v>
          </cell>
          <cell r="S10">
            <v>9</v>
          </cell>
          <cell r="T10">
            <v>1.3499999999999999</v>
          </cell>
          <cell r="U10">
            <v>0</v>
          </cell>
          <cell r="V10">
            <v>0</v>
          </cell>
          <cell r="AB10">
            <v>180274</v>
          </cell>
        </row>
        <row r="13">
          <cell r="B13">
            <v>53</v>
          </cell>
          <cell r="C13">
            <v>9.1029999999999998</v>
          </cell>
          <cell r="J13">
            <v>232</v>
          </cell>
          <cell r="K13">
            <v>35.049999999999997</v>
          </cell>
          <cell r="M13">
            <v>230</v>
          </cell>
          <cell r="N13">
            <v>34.769999999999996</v>
          </cell>
          <cell r="O13">
            <v>0</v>
          </cell>
          <cell r="P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AB13">
            <v>11599</v>
          </cell>
        </row>
        <row r="16">
          <cell r="B16">
            <v>156</v>
          </cell>
          <cell r="C16">
            <v>16.780999999999999</v>
          </cell>
          <cell r="F16">
            <v>0</v>
          </cell>
          <cell r="G16">
            <v>0</v>
          </cell>
          <cell r="H16">
            <v>253</v>
          </cell>
          <cell r="I16">
            <v>27.315000000000001</v>
          </cell>
          <cell r="J16">
            <v>360</v>
          </cell>
          <cell r="K16">
            <v>37.799999999999997</v>
          </cell>
          <cell r="L16">
            <v>15.696000000000002</v>
          </cell>
          <cell r="M16">
            <v>234</v>
          </cell>
          <cell r="N16">
            <v>35.450000000000003</v>
          </cell>
          <cell r="O16">
            <v>108</v>
          </cell>
          <cell r="P16">
            <v>16.186</v>
          </cell>
          <cell r="Q16">
            <v>301</v>
          </cell>
          <cell r="R16">
            <v>31.82</v>
          </cell>
          <cell r="S16">
            <v>3.8400000000000003</v>
          </cell>
          <cell r="T16">
            <v>0.57600000000000007</v>
          </cell>
          <cell r="U16">
            <v>0</v>
          </cell>
          <cell r="V16">
            <v>0</v>
          </cell>
          <cell r="AA16">
            <v>22422.857142857149</v>
          </cell>
          <cell r="AB16">
            <v>32592.78</v>
          </cell>
        </row>
        <row r="19">
          <cell r="B19">
            <v>1329</v>
          </cell>
          <cell r="C19">
            <v>1.8605999999999998</v>
          </cell>
          <cell r="D19">
            <v>14400</v>
          </cell>
          <cell r="E19">
            <v>20.159999999999997</v>
          </cell>
          <cell r="J19">
            <v>0</v>
          </cell>
          <cell r="K19">
            <v>0</v>
          </cell>
          <cell r="L19">
            <v>83.750399968000011</v>
          </cell>
          <cell r="M19">
            <v>12636</v>
          </cell>
          <cell r="N19">
            <v>101.08800000000002</v>
          </cell>
          <cell r="O19">
            <v>0</v>
          </cell>
          <cell r="P19">
            <v>0</v>
          </cell>
          <cell r="S19">
            <v>1440</v>
          </cell>
          <cell r="T19">
            <v>2.3687999679999998</v>
          </cell>
          <cell r="U19">
            <v>0</v>
          </cell>
          <cell r="V19">
            <v>0</v>
          </cell>
          <cell r="AA19">
            <v>354874.57613559323</v>
          </cell>
          <cell r="AB19">
            <v>390362</v>
          </cell>
        </row>
        <row r="22">
          <cell r="B22">
            <v>2372</v>
          </cell>
          <cell r="C22">
            <v>17.315999999999999</v>
          </cell>
          <cell r="H22">
            <v>2250</v>
          </cell>
          <cell r="I22">
            <v>33.75</v>
          </cell>
          <cell r="J22">
            <v>12636</v>
          </cell>
          <cell r="K22">
            <v>101.08800000000002</v>
          </cell>
          <cell r="L22">
            <v>371.94894999999997</v>
          </cell>
          <cell r="M22">
            <v>14568</v>
          </cell>
          <cell r="N22">
            <v>509.88</v>
          </cell>
          <cell r="S22">
            <v>372.15000000000003</v>
          </cell>
          <cell r="T22">
            <v>5.1135000000000002</v>
          </cell>
          <cell r="U22">
            <v>372.15000000000003</v>
          </cell>
          <cell r="V22">
            <v>6.4780500000000014</v>
          </cell>
          <cell r="AA22">
            <v>826553.22222222225</v>
          </cell>
          <cell r="AB22">
            <v>772274.5</v>
          </cell>
        </row>
        <row r="25">
          <cell r="B25">
            <v>4376</v>
          </cell>
          <cell r="C25">
            <v>153.16499999999999</v>
          </cell>
          <cell r="J25">
            <v>14568</v>
          </cell>
          <cell r="K25">
            <v>509.88</v>
          </cell>
          <cell r="L25">
            <v>957.1600000000002</v>
          </cell>
          <cell r="M25">
            <v>360</v>
          </cell>
          <cell r="N25">
            <v>37.804999999999993</v>
          </cell>
          <cell r="O25">
            <v>10058</v>
          </cell>
          <cell r="P25">
            <v>1056.0899999999999</v>
          </cell>
          <cell r="Q25">
            <v>3240</v>
          </cell>
          <cell r="R25">
            <v>340.2</v>
          </cell>
          <cell r="S25">
            <v>145.68</v>
          </cell>
          <cell r="T25">
            <v>5.6448</v>
          </cell>
          <cell r="U25">
            <v>145.68</v>
          </cell>
          <cell r="V25">
            <v>5.6448</v>
          </cell>
          <cell r="AA25">
            <v>1149051.6206482595</v>
          </cell>
          <cell r="AB25">
            <v>1126179.51</v>
          </cell>
        </row>
        <row r="28">
          <cell r="J28">
            <v>235</v>
          </cell>
          <cell r="K28">
            <v>35.25</v>
          </cell>
          <cell r="L28">
            <v>18.799999999999997</v>
          </cell>
          <cell r="O28">
            <v>235</v>
          </cell>
          <cell r="P28">
            <v>54.05</v>
          </cell>
        </row>
      </sheetData>
      <sheetData sheetId="1">
        <row r="7">
          <cell r="B7">
            <v>9</v>
          </cell>
          <cell r="C7">
            <v>1.8560000000000001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U7">
            <v>3</v>
          </cell>
          <cell r="V7">
            <v>0.54</v>
          </cell>
          <cell r="AD7">
            <v>2171</v>
          </cell>
        </row>
        <row r="10">
          <cell r="B10">
            <v>4</v>
          </cell>
          <cell r="C10">
            <v>0.36799999999999999</v>
          </cell>
          <cell r="F10">
            <v>0</v>
          </cell>
          <cell r="G10">
            <v>0</v>
          </cell>
          <cell r="H10">
            <v>4</v>
          </cell>
          <cell r="I10">
            <v>0.76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U10">
            <v>0</v>
          </cell>
          <cell r="V10">
            <v>0</v>
          </cell>
          <cell r="AC10">
            <v>1664</v>
          </cell>
          <cell r="AD10">
            <v>2060</v>
          </cell>
        </row>
        <row r="13">
          <cell r="B13">
            <v>889</v>
          </cell>
          <cell r="C13">
            <v>134.69300000000001</v>
          </cell>
          <cell r="J13">
            <v>390</v>
          </cell>
          <cell r="K13">
            <v>57.345999999999997</v>
          </cell>
          <cell r="M13">
            <v>390</v>
          </cell>
          <cell r="N13">
            <v>58.5</v>
          </cell>
          <cell r="U13">
            <v>14</v>
          </cell>
          <cell r="V13">
            <v>2.0999999999999996</v>
          </cell>
          <cell r="AC13">
            <v>0</v>
          </cell>
          <cell r="AD13">
            <v>242809.5</v>
          </cell>
        </row>
        <row r="16">
          <cell r="B16">
            <v>241</v>
          </cell>
          <cell r="C16">
            <v>35.591000000000001</v>
          </cell>
          <cell r="J16">
            <v>390</v>
          </cell>
          <cell r="K16">
            <v>58.5</v>
          </cell>
          <cell r="M16">
            <v>390</v>
          </cell>
          <cell r="N16">
            <v>57.376999999999995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AC16">
            <v>0</v>
          </cell>
          <cell r="AD16">
            <v>61606</v>
          </cell>
        </row>
        <row r="19">
          <cell r="B19">
            <v>316</v>
          </cell>
          <cell r="C19">
            <v>24.254999999999999</v>
          </cell>
          <cell r="H19">
            <v>290</v>
          </cell>
          <cell r="I19">
            <v>40.799999999999997</v>
          </cell>
          <cell r="J19">
            <v>468</v>
          </cell>
          <cell r="K19">
            <v>18.251999999999999</v>
          </cell>
          <cell r="L19">
            <v>53.598999999999997</v>
          </cell>
          <cell r="M19">
            <v>390</v>
          </cell>
          <cell r="N19">
            <v>58.5</v>
          </cell>
          <cell r="Q19">
            <v>141</v>
          </cell>
          <cell r="R19">
            <v>14.1</v>
          </cell>
          <cell r="U19">
            <v>0</v>
          </cell>
          <cell r="V19">
            <v>0</v>
          </cell>
          <cell r="AC19">
            <v>81568</v>
          </cell>
          <cell r="AD19">
            <v>108162.5</v>
          </cell>
        </row>
        <row r="25">
          <cell r="B25">
            <v>2047</v>
          </cell>
          <cell r="C25">
            <v>2.8450000000000002</v>
          </cell>
          <cell r="D25">
            <v>24170</v>
          </cell>
          <cell r="E25">
            <v>33.837800000000001</v>
          </cell>
          <cell r="L25">
            <v>147.29900000000001</v>
          </cell>
          <cell r="M25">
            <v>21752.9</v>
          </cell>
          <cell r="N25">
            <v>174.0232</v>
          </cell>
          <cell r="U25">
            <v>2417</v>
          </cell>
          <cell r="V25">
            <v>6.9863</v>
          </cell>
          <cell r="AC25">
            <v>623562.25423728814</v>
          </cell>
          <cell r="AD25">
            <v>651656.94999999995</v>
          </cell>
        </row>
        <row r="28">
          <cell r="B28">
            <v>4387</v>
          </cell>
          <cell r="C28">
            <v>33.646999999999998</v>
          </cell>
          <cell r="J28">
            <v>21752.9</v>
          </cell>
          <cell r="K28">
            <v>174.0232</v>
          </cell>
          <cell r="L28">
            <v>677.64489249999997</v>
          </cell>
          <cell r="M28">
            <v>468</v>
          </cell>
          <cell r="N28">
            <v>18.251999999999999</v>
          </cell>
          <cell r="O28">
            <v>20880</v>
          </cell>
          <cell r="P28">
            <v>814.31999999999994</v>
          </cell>
          <cell r="U28">
            <v>543.82249999999999</v>
          </cell>
          <cell r="V28">
            <v>7.6135149999999996</v>
          </cell>
          <cell r="W28">
            <v>543.82249999999999</v>
          </cell>
          <cell r="X28">
            <v>13.5955625</v>
          </cell>
          <cell r="AC28">
            <v>1377327.0172764228</v>
          </cell>
          <cell r="AD28">
            <v>1142474.4975000001</v>
          </cell>
        </row>
        <row r="31">
          <cell r="J31">
            <v>390</v>
          </cell>
          <cell r="K31">
            <v>58.5</v>
          </cell>
          <cell r="L31">
            <v>31.200000000000006</v>
          </cell>
          <cell r="Q31">
            <v>390</v>
          </cell>
          <cell r="R31">
            <v>89.700000000000017</v>
          </cell>
        </row>
        <row r="43">
          <cell r="B43">
            <v>5419</v>
          </cell>
          <cell r="C43">
            <v>211.36500000000001</v>
          </cell>
          <cell r="H43">
            <v>20880</v>
          </cell>
          <cell r="I43">
            <v>814.31999999999994</v>
          </cell>
          <cell r="L43">
            <v>1211.3093999999999</v>
          </cell>
          <cell r="Q43">
            <v>15219</v>
          </cell>
          <cell r="R43">
            <v>1597.9949999999999</v>
          </cell>
          <cell r="S43">
            <v>3060</v>
          </cell>
          <cell r="T43">
            <v>321.3</v>
          </cell>
          <cell r="U43">
            <v>208.8</v>
          </cell>
          <cell r="V43">
            <v>9.7061299999999999</v>
          </cell>
          <cell r="W43">
            <v>209.79000000000002</v>
          </cell>
          <cell r="X43">
            <v>6.8352799999999991</v>
          </cell>
          <cell r="AC43">
            <v>1477206.5853658537</v>
          </cell>
          <cell r="AD43">
            <v>1595043.615</v>
          </cell>
        </row>
        <row r="87">
          <cell r="C87">
            <v>15600</v>
          </cell>
        </row>
        <row r="88">
          <cell r="C88">
            <v>22400</v>
          </cell>
        </row>
        <row r="89">
          <cell r="C89">
            <v>41600</v>
          </cell>
        </row>
        <row r="90">
          <cell r="C90">
            <v>27400</v>
          </cell>
        </row>
        <row r="91">
          <cell r="C91">
            <v>19800</v>
          </cell>
        </row>
        <row r="92">
          <cell r="C92">
            <v>15300</v>
          </cell>
        </row>
        <row r="96">
          <cell r="C96">
            <v>150000</v>
          </cell>
        </row>
        <row r="97">
          <cell r="C97">
            <v>137000</v>
          </cell>
        </row>
        <row r="98">
          <cell r="C98">
            <v>50000</v>
          </cell>
        </row>
      </sheetData>
      <sheetData sheetId="2">
        <row r="7">
          <cell r="A7" t="str">
            <v>коровы план</v>
          </cell>
          <cell r="B7">
            <v>145</v>
          </cell>
          <cell r="C7">
            <v>65.321860000000001</v>
          </cell>
          <cell r="J7">
            <v>25</v>
          </cell>
          <cell r="K7">
            <v>10.75</v>
          </cell>
          <cell r="M7">
            <v>19</v>
          </cell>
          <cell r="N7">
            <v>8.5500000000000007</v>
          </cell>
          <cell r="S7">
            <v>0</v>
          </cell>
          <cell r="T7">
            <v>0</v>
          </cell>
          <cell r="AB7">
            <v>39286.5</v>
          </cell>
        </row>
        <row r="10">
          <cell r="A10" t="str">
            <v>нетели план</v>
          </cell>
          <cell r="B10">
            <v>13</v>
          </cell>
          <cell r="C10">
            <v>5.85</v>
          </cell>
          <cell r="J10">
            <v>12</v>
          </cell>
          <cell r="K10">
            <v>5.16</v>
          </cell>
          <cell r="M10">
            <v>25</v>
          </cell>
          <cell r="N10">
            <v>10.75</v>
          </cell>
          <cell r="O10">
            <v>6</v>
          </cell>
          <cell r="P10">
            <v>2.58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AB10">
            <v>5022</v>
          </cell>
        </row>
        <row r="13">
          <cell r="A13" t="str">
            <v>тел. 15 г. план</v>
          </cell>
          <cell r="B13">
            <v>56</v>
          </cell>
          <cell r="C13">
            <v>18.591999999999999</v>
          </cell>
          <cell r="L13">
            <v>4.4119999999999999</v>
          </cell>
          <cell r="M13">
            <v>24</v>
          </cell>
          <cell r="N13">
            <v>10.32</v>
          </cell>
          <cell r="O13">
            <v>13</v>
          </cell>
          <cell r="P13">
            <v>4.9400000000000004</v>
          </cell>
          <cell r="AA13">
            <v>8847.5</v>
          </cell>
          <cell r="AB13">
            <v>8847.5</v>
          </cell>
        </row>
        <row r="16">
          <cell r="A16" t="str">
            <v>быч. 15 г. план</v>
          </cell>
          <cell r="B16">
            <v>24</v>
          </cell>
          <cell r="C16">
            <v>8.3279999999999994</v>
          </cell>
          <cell r="L16">
            <v>0.79200000000000004</v>
          </cell>
          <cell r="O16">
            <v>24</v>
          </cell>
          <cell r="P16">
            <v>9.120000000000001</v>
          </cell>
          <cell r="AA16">
            <v>1803</v>
          </cell>
          <cell r="AB16">
            <v>1803</v>
          </cell>
        </row>
        <row r="19">
          <cell r="A19" t="str">
            <v>тел. 16 г. план</v>
          </cell>
          <cell r="B19">
            <v>49</v>
          </cell>
          <cell r="C19">
            <v>5.6349999999999998</v>
          </cell>
          <cell r="L19">
            <v>9.7899999999999991</v>
          </cell>
          <cell r="O19">
            <v>5</v>
          </cell>
          <cell r="P19">
            <v>1.9</v>
          </cell>
          <cell r="AA19">
            <v>13302</v>
          </cell>
          <cell r="AB19">
            <v>13302</v>
          </cell>
        </row>
        <row r="22">
          <cell r="A22" t="str">
            <v>быч. 16 г. план</v>
          </cell>
          <cell r="B22">
            <v>61</v>
          </cell>
          <cell r="C22">
            <v>8.2959999999999994</v>
          </cell>
          <cell r="L22">
            <v>11.655000000000001</v>
          </cell>
          <cell r="O22">
            <v>21</v>
          </cell>
          <cell r="P22">
            <v>7.98</v>
          </cell>
          <cell r="AA22">
            <v>15387.5</v>
          </cell>
          <cell r="AB22">
            <v>15387.5</v>
          </cell>
        </row>
        <row r="25">
          <cell r="A25" t="str">
            <v>тел. 17 г. план</v>
          </cell>
          <cell r="B25">
            <v>0</v>
          </cell>
          <cell r="C25">
            <v>0</v>
          </cell>
          <cell r="D25">
            <v>54</v>
          </cell>
          <cell r="E25">
            <v>1.62</v>
          </cell>
          <cell r="L25">
            <v>3.7284999999999999</v>
          </cell>
          <cell r="S25">
            <v>2</v>
          </cell>
          <cell r="T25">
            <v>0.06</v>
          </cell>
          <cell r="AA25">
            <v>5576.5</v>
          </cell>
          <cell r="AB25">
            <v>5576.5</v>
          </cell>
        </row>
        <row r="28">
          <cell r="A28" t="str">
            <v>быч. 17 г. план</v>
          </cell>
          <cell r="B28">
            <v>0</v>
          </cell>
          <cell r="C28">
            <v>0</v>
          </cell>
          <cell r="D28">
            <v>55</v>
          </cell>
          <cell r="E28">
            <v>1.65</v>
          </cell>
          <cell r="L28">
            <v>4.2249999999999996</v>
          </cell>
          <cell r="S28">
            <v>2</v>
          </cell>
          <cell r="T28">
            <v>0.06</v>
          </cell>
          <cell r="AA28">
            <v>5591</v>
          </cell>
          <cell r="AB28">
            <v>5591</v>
          </cell>
        </row>
        <row r="31">
          <cell r="B31">
            <v>4</v>
          </cell>
          <cell r="C31">
            <v>1.8169999999999999</v>
          </cell>
          <cell r="L31">
            <v>0</v>
          </cell>
          <cell r="O31">
            <v>0</v>
          </cell>
          <cell r="P31">
            <v>0</v>
          </cell>
          <cell r="AA31">
            <v>972</v>
          </cell>
          <cell r="AB31">
            <v>972</v>
          </cell>
        </row>
        <row r="34">
          <cell r="J34">
            <v>19</v>
          </cell>
          <cell r="K34">
            <v>8.5500000000000007</v>
          </cell>
          <cell r="L34">
            <v>0.94999999999999973</v>
          </cell>
          <cell r="O34">
            <v>19</v>
          </cell>
          <cell r="P34">
            <v>9.5</v>
          </cell>
          <cell r="AB34">
            <v>0</v>
          </cell>
        </row>
      </sheetData>
      <sheetData sheetId="3">
        <row r="5">
          <cell r="E5">
            <v>241136.8013240654</v>
          </cell>
        </row>
        <row r="9">
          <cell r="E9">
            <v>80277.581558126927</v>
          </cell>
        </row>
        <row r="11">
          <cell r="E11">
            <v>14444.185375491785</v>
          </cell>
        </row>
        <row r="13">
          <cell r="E13">
            <v>80072.98058336493</v>
          </cell>
        </row>
        <row r="15">
          <cell r="E15">
            <v>17218.380115769858</v>
          </cell>
        </row>
        <row r="17">
          <cell r="E17">
            <v>10242.800987546107</v>
          </cell>
        </row>
        <row r="21">
          <cell r="E21">
            <v>10956.973756181749</v>
          </cell>
        </row>
        <row r="23">
          <cell r="E23">
            <v>10653.180224816184</v>
          </cell>
        </row>
        <row r="25">
          <cell r="E25">
            <v>4026.2643379656638</v>
          </cell>
        </row>
        <row r="27">
          <cell r="E27">
            <v>5073.3312186734302</v>
          </cell>
        </row>
        <row r="29">
          <cell r="E29">
            <v>8171.1231661287502</v>
          </cell>
        </row>
        <row r="31">
          <cell r="E31">
            <v>182036.9629256968</v>
          </cell>
        </row>
        <row r="33">
          <cell r="E33">
            <v>35020.353191379822</v>
          </cell>
        </row>
        <row r="45">
          <cell r="E45">
            <v>15053.974600480817</v>
          </cell>
        </row>
        <row r="47">
          <cell r="E47">
            <v>28.320000000000004</v>
          </cell>
        </row>
        <row r="51">
          <cell r="E51">
            <v>60665.600601484555</v>
          </cell>
        </row>
        <row r="68">
          <cell r="D68">
            <v>293.46499999999997</v>
          </cell>
          <cell r="E68">
            <v>79850.695999999996</v>
          </cell>
        </row>
        <row r="70">
          <cell r="D70">
            <v>55.796500000000002</v>
          </cell>
          <cell r="E70">
            <v>13857.997499999999</v>
          </cell>
        </row>
        <row r="72">
          <cell r="D72">
            <v>290.97699999999998</v>
          </cell>
          <cell r="E72">
            <v>83415.418999999994</v>
          </cell>
        </row>
        <row r="74">
          <cell r="D74">
            <v>71.497500000000002</v>
          </cell>
          <cell r="E74">
            <v>20084.749500000002</v>
          </cell>
        </row>
        <row r="76">
          <cell r="D76">
            <v>52.189500000000002</v>
          </cell>
          <cell r="E76">
            <v>6614.7780000000002</v>
          </cell>
        </row>
        <row r="80">
          <cell r="D80">
            <v>36.472499999999997</v>
          </cell>
          <cell r="E80">
            <v>11617.8385</v>
          </cell>
        </row>
        <row r="82">
          <cell r="D82">
            <v>51.787500000000001</v>
          </cell>
          <cell r="E82">
            <v>10647.923500000001</v>
          </cell>
        </row>
        <row r="84">
          <cell r="D84">
            <v>23.9465</v>
          </cell>
          <cell r="E84">
            <v>3735.654</v>
          </cell>
        </row>
        <row r="86">
          <cell r="D86">
            <v>31.4115</v>
          </cell>
          <cell r="E86">
            <v>4886.0264999999999</v>
          </cell>
        </row>
        <row r="88">
          <cell r="D88">
            <v>27.497</v>
          </cell>
          <cell r="E88">
            <v>8193.1684999999998</v>
          </cell>
        </row>
        <row r="90">
          <cell r="D90">
            <v>1330.5143581336583</v>
          </cell>
          <cell r="E90">
            <v>199577.15372004878</v>
          </cell>
        </row>
        <row r="92">
          <cell r="D92">
            <v>133.6</v>
          </cell>
          <cell r="E92">
            <v>29274.705532150005</v>
          </cell>
        </row>
        <row r="94">
          <cell r="D94">
            <v>12.073969283052413</v>
          </cell>
          <cell r="E94">
            <v>965.91754264419285</v>
          </cell>
        </row>
        <row r="96">
          <cell r="D96">
            <v>3.2120084291843471</v>
          </cell>
          <cell r="E96">
            <v>481.8012643776521</v>
          </cell>
        </row>
        <row r="98">
          <cell r="D98">
            <v>112.74317276708688</v>
          </cell>
          <cell r="E98">
            <v>6526.3538832510703</v>
          </cell>
        </row>
        <row r="100">
          <cell r="D100">
            <v>76.494233401934508</v>
          </cell>
          <cell r="E100">
            <v>5947.2743052577644</v>
          </cell>
        </row>
        <row r="102">
          <cell r="D102">
            <v>8.2243952252651464</v>
          </cell>
          <cell r="E102">
            <v>2903.4475006273933</v>
          </cell>
        </row>
        <row r="104">
          <cell r="D104">
            <v>603.23500000000001</v>
          </cell>
          <cell r="E104">
            <v>15080.875</v>
          </cell>
        </row>
        <row r="106">
          <cell r="D106">
            <v>0.94399999999999995</v>
          </cell>
          <cell r="E106">
            <v>28.32</v>
          </cell>
        </row>
        <row r="108">
          <cell r="D108">
            <v>0</v>
          </cell>
          <cell r="E108">
            <v>0</v>
          </cell>
        </row>
        <row r="110">
          <cell r="D110">
            <v>661.5</v>
          </cell>
          <cell r="E110">
            <v>66811.5</v>
          </cell>
        </row>
        <row r="112">
          <cell r="D112">
            <v>16.672210809813318</v>
          </cell>
          <cell r="E112">
            <v>525.17464050911951</v>
          </cell>
        </row>
        <row r="114">
          <cell r="D114">
            <v>9.2091849406275426</v>
          </cell>
          <cell r="E114">
            <v>110.51021928753052</v>
          </cell>
        </row>
        <row r="116">
          <cell r="E116">
            <v>0</v>
          </cell>
        </row>
        <row r="117">
          <cell r="E117">
            <v>1581.2635774256014</v>
          </cell>
        </row>
        <row r="118">
          <cell r="E118">
            <v>324</v>
          </cell>
        </row>
      </sheetData>
      <sheetData sheetId="4">
        <row r="6">
          <cell r="K6">
            <v>0.80325000000000002</v>
          </cell>
          <cell r="AC6">
            <v>33773.166049999993</v>
          </cell>
          <cell r="AM6">
            <v>1728</v>
          </cell>
        </row>
        <row r="7">
          <cell r="K7">
            <v>0.1275</v>
          </cell>
          <cell r="N7">
            <v>3863.7999999999997</v>
          </cell>
          <cell r="O7">
            <v>820</v>
          </cell>
          <cell r="P7">
            <v>705</v>
          </cell>
          <cell r="AC7">
            <v>5388.9274999999989</v>
          </cell>
          <cell r="AM7">
            <v>270</v>
          </cell>
        </row>
        <row r="8">
          <cell r="N8">
            <v>6356</v>
          </cell>
          <cell r="P8">
            <v>6042</v>
          </cell>
          <cell r="AM8">
            <v>6400</v>
          </cell>
        </row>
        <row r="9">
          <cell r="AC9">
            <v>5866.96</v>
          </cell>
          <cell r="AG9">
            <v>0</v>
          </cell>
        </row>
        <row r="10">
          <cell r="K10">
            <v>6.75</v>
          </cell>
          <cell r="V10">
            <v>587</v>
          </cell>
          <cell r="W10">
            <v>245</v>
          </cell>
          <cell r="X10">
            <v>133</v>
          </cell>
          <cell r="AB10">
            <v>22.65</v>
          </cell>
          <cell r="AC10">
            <v>994.4</v>
          </cell>
          <cell r="AG10">
            <v>0</v>
          </cell>
        </row>
        <row r="11">
          <cell r="V11">
            <v>5900</v>
          </cell>
          <cell r="W11">
            <v>5900</v>
          </cell>
          <cell r="X11">
            <v>5900</v>
          </cell>
          <cell r="AB11">
            <v>5900</v>
          </cell>
          <cell r="AE11">
            <v>6750</v>
          </cell>
        </row>
        <row r="12">
          <cell r="J12">
            <v>932.4</v>
          </cell>
          <cell r="AC12">
            <v>1282.23648</v>
          </cell>
          <cell r="AK12">
            <v>167.03280000000001</v>
          </cell>
        </row>
        <row r="13">
          <cell r="J13">
            <v>42</v>
          </cell>
          <cell r="K13">
            <v>12.222000000000001</v>
          </cell>
          <cell r="L13">
            <v>3.0240000000000009</v>
          </cell>
          <cell r="R13">
            <v>0.13440000000000002</v>
          </cell>
          <cell r="Z13">
            <v>0.37800000000000011</v>
          </cell>
          <cell r="AA13">
            <v>0</v>
          </cell>
          <cell r="AC13">
            <v>57.758400000000002</v>
          </cell>
          <cell r="AH13">
            <v>3.024</v>
          </cell>
          <cell r="AI13">
            <v>4.5</v>
          </cell>
          <cell r="AK13">
            <v>7.524</v>
          </cell>
        </row>
        <row r="15">
          <cell r="I15">
            <v>4811.3999999999987</v>
          </cell>
          <cell r="J15">
            <v>1608.75</v>
          </cell>
          <cell r="AC15">
            <v>6571.1249999999982</v>
          </cell>
          <cell r="AG15">
            <v>0</v>
          </cell>
          <cell r="AK15">
            <v>0</v>
          </cell>
        </row>
        <row r="16">
          <cell r="I16">
            <v>145.79999999999998</v>
          </cell>
          <cell r="J16">
            <v>48.75</v>
          </cell>
          <cell r="K16">
            <v>3.0749999999999997</v>
          </cell>
          <cell r="L16">
            <v>1.5</v>
          </cell>
          <cell r="AC16">
            <v>199.125</v>
          </cell>
          <cell r="AG16">
            <v>0</v>
          </cell>
          <cell r="AK16">
            <v>0</v>
          </cell>
        </row>
        <row r="18">
          <cell r="I18">
            <v>10.583999999999998</v>
          </cell>
          <cell r="J18">
            <v>453.6</v>
          </cell>
          <cell r="AC18">
            <v>614.62799999999982</v>
          </cell>
          <cell r="AG18">
            <v>1.0079999999999998</v>
          </cell>
          <cell r="AK18">
            <v>731.52</v>
          </cell>
        </row>
        <row r="19">
          <cell r="I19">
            <v>0.31499999999999995</v>
          </cell>
          <cell r="J19">
            <v>13.5</v>
          </cell>
          <cell r="K19">
            <v>1.5</v>
          </cell>
          <cell r="L19">
            <v>2.4749999999999996</v>
          </cell>
          <cell r="N19">
            <v>0.22499999999999998</v>
          </cell>
          <cell r="R19">
            <v>5.2500000000000005E-2</v>
          </cell>
          <cell r="Z19">
            <v>0.22499999999999998</v>
          </cell>
          <cell r="AA19">
            <v>0</v>
          </cell>
          <cell r="AC19">
            <v>18.292500000000004</v>
          </cell>
          <cell r="AF19">
            <v>0.03</v>
          </cell>
          <cell r="AG19">
            <v>0.03</v>
          </cell>
          <cell r="AH19">
            <v>18</v>
          </cell>
          <cell r="AI19">
            <v>2.6999999999999997</v>
          </cell>
          <cell r="AJ19">
            <v>0</v>
          </cell>
          <cell r="AK19">
            <v>20.7</v>
          </cell>
        </row>
        <row r="21">
          <cell r="I21">
            <v>195.99396000000002</v>
          </cell>
          <cell r="J21">
            <v>122.29986666666667</v>
          </cell>
          <cell r="K21">
            <v>17.389087200000002</v>
          </cell>
          <cell r="L21">
            <v>8.1495824000000017</v>
          </cell>
          <cell r="N21">
            <v>1.5</v>
          </cell>
          <cell r="R21">
            <v>0</v>
          </cell>
          <cell r="V21">
            <v>0.90000000000000013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346.23249626666666</v>
          </cell>
          <cell r="AF21">
            <v>7.5</v>
          </cell>
          <cell r="AH21">
            <v>29.130182400000002</v>
          </cell>
          <cell r="AI21">
            <v>7.9411999999999994</v>
          </cell>
          <cell r="AJ21">
            <v>0</v>
          </cell>
          <cell r="AK21">
            <v>37.071382400000005</v>
          </cell>
        </row>
        <row r="22">
          <cell r="B22">
            <v>177</v>
          </cell>
          <cell r="I22">
            <v>50.699999999999996</v>
          </cell>
          <cell r="J22">
            <v>93.75</v>
          </cell>
          <cell r="K22">
            <v>8.25</v>
          </cell>
          <cell r="L22">
            <v>4.1999999999999993</v>
          </cell>
          <cell r="N22">
            <v>218.99999999999997</v>
          </cell>
          <cell r="O22">
            <v>0</v>
          </cell>
          <cell r="P22">
            <v>0</v>
          </cell>
          <cell r="R22">
            <v>162</v>
          </cell>
          <cell r="S22">
            <v>11.25</v>
          </cell>
          <cell r="T22">
            <v>0</v>
          </cell>
          <cell r="V22">
            <v>0</v>
          </cell>
          <cell r="W22">
            <v>0</v>
          </cell>
          <cell r="X22">
            <v>0</v>
          </cell>
          <cell r="Z22">
            <v>54</v>
          </cell>
          <cell r="AA22">
            <v>234.75</v>
          </cell>
          <cell r="AB22">
            <v>44.7</v>
          </cell>
          <cell r="AC22">
            <v>1059.5999999999999</v>
          </cell>
          <cell r="AD22">
            <v>174</v>
          </cell>
          <cell r="AE22">
            <v>2055.9075000000003</v>
          </cell>
          <cell r="AF22">
            <v>1104.25875</v>
          </cell>
          <cell r="AG22">
            <v>3334.1662500000002</v>
          </cell>
          <cell r="AH22">
            <v>4.5</v>
          </cell>
          <cell r="AI22">
            <v>37.5</v>
          </cell>
          <cell r="AJ22">
            <v>486.97500000000002</v>
          </cell>
          <cell r="AK22">
            <v>528.97500000000002</v>
          </cell>
          <cell r="AL22">
            <v>3618.5</v>
          </cell>
          <cell r="AM22">
            <v>3041.5512499999995</v>
          </cell>
        </row>
        <row r="23">
          <cell r="B23">
            <v>25.643940000000001</v>
          </cell>
          <cell r="I23">
            <v>824.6086499999999</v>
          </cell>
          <cell r="J23">
            <v>2440.6310699999999</v>
          </cell>
          <cell r="K23">
            <v>248.69706000000002</v>
          </cell>
          <cell r="L23">
            <v>11.42028</v>
          </cell>
          <cell r="N23">
            <v>54.318239999999996</v>
          </cell>
          <cell r="O23">
            <v>126.67449000000001</v>
          </cell>
          <cell r="P23">
            <v>112.83948000000001</v>
          </cell>
          <cell r="R23">
            <v>341.01035999999999</v>
          </cell>
          <cell r="S23">
            <v>84.394080000000002</v>
          </cell>
          <cell r="T23">
            <v>86.113079999999997</v>
          </cell>
          <cell r="V23">
            <v>2025.1520099999998</v>
          </cell>
          <cell r="W23">
            <v>394.88351999999998</v>
          </cell>
          <cell r="X23">
            <v>0</v>
          </cell>
          <cell r="Z23">
            <v>205.83269999999999</v>
          </cell>
          <cell r="AA23">
            <v>0</v>
          </cell>
          <cell r="AB23">
            <v>0</v>
          </cell>
          <cell r="AC23">
            <v>6982.2189599999992</v>
          </cell>
          <cell r="AD23">
            <v>0</v>
          </cell>
          <cell r="AE23">
            <v>9285.4900500000003</v>
          </cell>
          <cell r="AF23">
            <v>2624.5194300000003</v>
          </cell>
          <cell r="AG23">
            <v>11910.009480000001</v>
          </cell>
          <cell r="AH23">
            <v>351.95604000000003</v>
          </cell>
          <cell r="AI23">
            <v>24.384480000000003</v>
          </cell>
          <cell r="AJ23">
            <v>327.43346999999994</v>
          </cell>
          <cell r="AK23">
            <v>703.77398999999991</v>
          </cell>
          <cell r="AL23">
            <v>66.580559999999991</v>
          </cell>
          <cell r="AM23">
            <v>304.99556999999999</v>
          </cell>
        </row>
        <row r="24">
          <cell r="B24">
            <v>3960</v>
          </cell>
          <cell r="I24">
            <v>3402</v>
          </cell>
          <cell r="J24">
            <v>4755</v>
          </cell>
          <cell r="K24">
            <v>375</v>
          </cell>
          <cell r="L24">
            <v>315</v>
          </cell>
          <cell r="N24">
            <v>1174.5</v>
          </cell>
          <cell r="O24">
            <v>663.30000000000007</v>
          </cell>
          <cell r="P24">
            <v>0</v>
          </cell>
          <cell r="R24">
            <v>633</v>
          </cell>
          <cell r="S24">
            <v>0</v>
          </cell>
          <cell r="T24">
            <v>0</v>
          </cell>
          <cell r="V24">
            <v>192</v>
          </cell>
          <cell r="W24">
            <v>0</v>
          </cell>
          <cell r="X24">
            <v>0</v>
          </cell>
          <cell r="Z24">
            <v>657</v>
          </cell>
          <cell r="AA24">
            <v>585</v>
          </cell>
          <cell r="AB24">
            <v>567</v>
          </cell>
          <cell r="AC24">
            <v>17278.8</v>
          </cell>
          <cell r="AD24">
            <v>1050</v>
          </cell>
          <cell r="AE24">
            <v>2250</v>
          </cell>
          <cell r="AF24">
            <v>1846.8</v>
          </cell>
          <cell r="AG24">
            <v>5146.8</v>
          </cell>
          <cell r="AH24">
            <v>945</v>
          </cell>
          <cell r="AI24">
            <v>4230</v>
          </cell>
          <cell r="AJ24">
            <v>10950</v>
          </cell>
          <cell r="AK24">
            <v>16125</v>
          </cell>
          <cell r="AL24">
            <v>792</v>
          </cell>
          <cell r="AM24">
            <v>14520</v>
          </cell>
        </row>
        <row r="27">
          <cell r="B27">
            <v>582.375</v>
          </cell>
          <cell r="I27">
            <v>360.00000000000006</v>
          </cell>
          <cell r="J27">
            <v>280.5</v>
          </cell>
          <cell r="N27">
            <v>360</v>
          </cell>
          <cell r="R27">
            <v>0</v>
          </cell>
          <cell r="S27">
            <v>7.5</v>
          </cell>
          <cell r="T27">
            <v>0</v>
          </cell>
          <cell r="V27">
            <v>150</v>
          </cell>
          <cell r="Z27">
            <v>112.5</v>
          </cell>
          <cell r="AA27">
            <v>30</v>
          </cell>
          <cell r="AB27">
            <v>107.39999999999999</v>
          </cell>
          <cell r="AC27">
            <v>1990.2750000000001</v>
          </cell>
          <cell r="AD27">
            <v>0</v>
          </cell>
          <cell r="AE27">
            <v>502.5</v>
          </cell>
          <cell r="AF27">
            <v>0</v>
          </cell>
          <cell r="AG27">
            <v>502.5</v>
          </cell>
          <cell r="AH27">
            <v>90</v>
          </cell>
          <cell r="AI27">
            <v>0</v>
          </cell>
          <cell r="AJ27">
            <v>250.79999999999998</v>
          </cell>
          <cell r="AK27">
            <v>340.79999999999995</v>
          </cell>
          <cell r="AL27">
            <v>309</v>
          </cell>
          <cell r="AM27">
            <v>387.5</v>
          </cell>
        </row>
        <row r="28">
          <cell r="I28">
            <v>2032.5</v>
          </cell>
          <cell r="J28">
            <v>1237.5</v>
          </cell>
          <cell r="K28">
            <v>262.5</v>
          </cell>
          <cell r="L28">
            <v>75</v>
          </cell>
          <cell r="AC28">
            <v>3607.5</v>
          </cell>
          <cell r="AG28">
            <v>0</v>
          </cell>
          <cell r="AH28">
            <v>225</v>
          </cell>
          <cell r="AI28">
            <v>40.5</v>
          </cell>
          <cell r="AJ28">
            <v>0</v>
          </cell>
          <cell r="AK28">
            <v>265.5</v>
          </cell>
          <cell r="AM28">
            <v>0</v>
          </cell>
        </row>
        <row r="29">
          <cell r="I29">
            <v>419.99999999999994</v>
          </cell>
          <cell r="J29">
            <v>1500</v>
          </cell>
          <cell r="AC29">
            <v>2496.375</v>
          </cell>
          <cell r="AG29">
            <v>0</v>
          </cell>
          <cell r="AH29">
            <v>225</v>
          </cell>
          <cell r="AI29">
            <v>0</v>
          </cell>
          <cell r="AJ29">
            <v>941.16499999999996</v>
          </cell>
          <cell r="AK29">
            <v>1166.165</v>
          </cell>
          <cell r="AL29">
            <v>120</v>
          </cell>
          <cell r="AM29">
            <v>1650</v>
          </cell>
        </row>
        <row r="31">
          <cell r="B31">
            <v>0</v>
          </cell>
          <cell r="I31">
            <v>0</v>
          </cell>
          <cell r="J31">
            <v>487.5</v>
          </cell>
          <cell r="K31">
            <v>84.75</v>
          </cell>
          <cell r="L31">
            <v>18.75</v>
          </cell>
          <cell r="N31">
            <v>1170</v>
          </cell>
          <cell r="O31">
            <v>150</v>
          </cell>
          <cell r="P31">
            <v>150</v>
          </cell>
          <cell r="R31">
            <v>690</v>
          </cell>
          <cell r="S31">
            <v>277.5</v>
          </cell>
          <cell r="T31">
            <v>277.5</v>
          </cell>
          <cell r="V31">
            <v>882.75</v>
          </cell>
          <cell r="W31">
            <v>132.75</v>
          </cell>
          <cell r="X31">
            <v>154.5</v>
          </cell>
          <cell r="Z31">
            <v>525</v>
          </cell>
          <cell r="AA31">
            <v>0</v>
          </cell>
          <cell r="AB31">
            <v>567.59999999999991</v>
          </cell>
          <cell r="AC31">
            <v>5568.6</v>
          </cell>
          <cell r="AE31">
            <v>2413.25</v>
          </cell>
          <cell r="AF31">
            <v>3945</v>
          </cell>
          <cell r="AG31">
            <v>6358.25</v>
          </cell>
          <cell r="AH31">
            <v>90</v>
          </cell>
          <cell r="AI31">
            <v>933.30000000000007</v>
          </cell>
          <cell r="AJ31">
            <v>1086.75</v>
          </cell>
          <cell r="AK31">
            <v>2110.0500000000002</v>
          </cell>
          <cell r="AL31">
            <v>66</v>
          </cell>
          <cell r="AM31">
            <v>5699</v>
          </cell>
        </row>
        <row r="32"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AC33">
            <v>0</v>
          </cell>
          <cell r="AF33">
            <v>27.802860000000003</v>
          </cell>
          <cell r="AG33">
            <v>27.802860000000003</v>
          </cell>
          <cell r="AJ33">
            <v>0</v>
          </cell>
          <cell r="AK33">
            <v>0</v>
          </cell>
          <cell r="AL33">
            <v>0</v>
          </cell>
          <cell r="AM33">
            <v>3024</v>
          </cell>
        </row>
        <row r="34">
          <cell r="AC34">
            <v>0</v>
          </cell>
          <cell r="AG34">
            <v>0</v>
          </cell>
          <cell r="AJ34">
            <v>40.5</v>
          </cell>
          <cell r="AK34">
            <v>40.5</v>
          </cell>
          <cell r="AL34">
            <v>0</v>
          </cell>
          <cell r="AM34">
            <v>0</v>
          </cell>
        </row>
        <row r="35">
          <cell r="J35">
            <v>0</v>
          </cell>
          <cell r="AC35">
            <v>0</v>
          </cell>
          <cell r="AG35">
            <v>0</v>
          </cell>
          <cell r="AJ35">
            <v>267</v>
          </cell>
          <cell r="AK35">
            <v>267</v>
          </cell>
          <cell r="AL35">
            <v>0</v>
          </cell>
          <cell r="AM35">
            <v>0</v>
          </cell>
        </row>
        <row r="36">
          <cell r="AC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666</v>
          </cell>
        </row>
        <row r="37">
          <cell r="AC37">
            <v>0</v>
          </cell>
          <cell r="AJ37">
            <v>191.7</v>
          </cell>
          <cell r="AK37">
            <v>191.7</v>
          </cell>
          <cell r="AL37">
            <v>0</v>
          </cell>
          <cell r="AM37">
            <v>0</v>
          </cell>
        </row>
        <row r="38">
          <cell r="AC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2866</v>
          </cell>
        </row>
        <row r="39">
          <cell r="AC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B40">
            <v>45</v>
          </cell>
          <cell r="I40">
            <v>0</v>
          </cell>
          <cell r="R40">
            <v>30</v>
          </cell>
          <cell r="AC40">
            <v>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53">
          <cell r="AK53">
            <v>2174.6</v>
          </cell>
        </row>
        <row r="54">
          <cell r="AD54">
            <v>7005.6847906643097</v>
          </cell>
          <cell r="AE54">
            <v>17907.527707953912</v>
          </cell>
          <cell r="AF54">
            <v>11943.594318315838</v>
          </cell>
        </row>
        <row r="55">
          <cell r="R55">
            <v>52860</v>
          </cell>
          <cell r="S55">
            <v>24800</v>
          </cell>
          <cell r="T55">
            <v>22200</v>
          </cell>
          <cell r="V55">
            <v>3478.5714285714284</v>
          </cell>
          <cell r="W55">
            <v>1749.9999999999998</v>
          </cell>
          <cell r="X55">
            <v>949.99999999999989</v>
          </cell>
        </row>
        <row r="59">
          <cell r="B59">
            <v>2.7507189161390899</v>
          </cell>
          <cell r="H59">
            <v>0</v>
          </cell>
          <cell r="I59">
            <v>0.1164485247121293</v>
          </cell>
          <cell r="J59">
            <v>6.9539399999999993</v>
          </cell>
          <cell r="N59">
            <v>21.746759735984654</v>
          </cell>
          <cell r="R59">
            <v>1.3596687624354491</v>
          </cell>
          <cell r="V59">
            <v>4.1090865242995189</v>
          </cell>
          <cell r="Z59">
            <v>1.576070114435506</v>
          </cell>
          <cell r="AC59">
            <v>38.612692578006346</v>
          </cell>
          <cell r="AE59">
            <v>43.559830540507761</v>
          </cell>
          <cell r="AK59">
            <v>14.300859410264994</v>
          </cell>
        </row>
        <row r="60">
          <cell r="B60">
            <v>0</v>
          </cell>
          <cell r="H60">
            <v>0</v>
          </cell>
          <cell r="I60">
            <v>0</v>
          </cell>
          <cell r="J60">
            <v>393.71841600000005</v>
          </cell>
          <cell r="N60">
            <v>634.30650898355066</v>
          </cell>
          <cell r="R60">
            <v>86.587527412399254</v>
          </cell>
          <cell r="V60">
            <v>266.00470446998793</v>
          </cell>
          <cell r="Z60">
            <v>192.28995405928885</v>
          </cell>
          <cell r="AC60">
            <v>1572.9071109252266</v>
          </cell>
          <cell r="AE60">
            <v>1651.3898537106102</v>
          </cell>
          <cell r="AK60">
            <v>544.59739597714054</v>
          </cell>
        </row>
        <row r="61">
          <cell r="B61">
            <v>162.84255983543409</v>
          </cell>
          <cell r="H61">
            <v>0</v>
          </cell>
          <cell r="I61">
            <v>6.8937526629580539</v>
          </cell>
          <cell r="J61">
            <v>25.332215999999999</v>
          </cell>
          <cell r="N61">
            <v>144.97839823989767</v>
          </cell>
          <cell r="R61">
            <v>5.8736347792157861</v>
          </cell>
          <cell r="V61">
            <v>16.793642482839232</v>
          </cell>
          <cell r="Z61">
            <v>10.417333612531161</v>
          </cell>
          <cell r="AC61">
            <v>373.13153761287595</v>
          </cell>
          <cell r="AE61">
            <v>443.97971636516081</v>
          </cell>
          <cell r="AK61">
            <v>145.17635040445347</v>
          </cell>
        </row>
        <row r="62">
          <cell r="B62">
            <v>220.91329250948152</v>
          </cell>
          <cell r="H62">
            <v>0</v>
          </cell>
          <cell r="I62">
            <v>9.352110406880783</v>
          </cell>
          <cell r="J62">
            <v>10.820834639999999</v>
          </cell>
          <cell r="N62">
            <v>1802.1788225975279</v>
          </cell>
          <cell r="R62">
            <v>178.25713775037752</v>
          </cell>
          <cell r="V62">
            <v>557.48684910839393</v>
          </cell>
          <cell r="Z62">
            <v>20.891709262047293</v>
          </cell>
          <cell r="AC62">
            <v>2799.9007562747088</v>
          </cell>
          <cell r="AE62">
            <v>3021.5985387745945</v>
          </cell>
          <cell r="AK62">
            <v>990.30726069538775</v>
          </cell>
        </row>
        <row r="64">
          <cell r="B64">
            <v>126.22743470727154</v>
          </cell>
          <cell r="H64">
            <v>0</v>
          </cell>
          <cell r="I64">
            <v>5.343693411789932</v>
          </cell>
          <cell r="J64">
            <v>60.23145744</v>
          </cell>
          <cell r="N64">
            <v>217.46759735984654</v>
          </cell>
          <cell r="R64">
            <v>14.199967522188317</v>
          </cell>
          <cell r="V64">
            <v>45.525068808679123</v>
          </cell>
          <cell r="Z64">
            <v>11.213518421316692</v>
          </cell>
          <cell r="AC64">
            <v>480.20873767109214</v>
          </cell>
          <cell r="AE64">
            <v>454.12267347046117</v>
          </cell>
          <cell r="AK64">
            <v>147.54914332319927</v>
          </cell>
        </row>
        <row r="65">
          <cell r="B65">
            <v>98.536864284804722</v>
          </cell>
          <cell r="H65">
            <v>0</v>
          </cell>
          <cell r="I65">
            <v>4.1714449296878309</v>
          </cell>
          <cell r="J65">
            <v>609.78794519999997</v>
          </cell>
          <cell r="N65">
            <v>2969.2854188927076</v>
          </cell>
          <cell r="R65">
            <v>356.06592629852332</v>
          </cell>
          <cell r="V65">
            <v>1124.2208728940786</v>
          </cell>
          <cell r="Z65">
            <v>167.62549517453522</v>
          </cell>
          <cell r="AC65">
            <v>5329.6939676743377</v>
          </cell>
          <cell r="AE65">
            <v>5164.8097582752907</v>
          </cell>
          <cell r="AK65">
            <v>1691.6514984069652</v>
          </cell>
        </row>
        <row r="66">
          <cell r="B66">
            <v>0</v>
          </cell>
          <cell r="H66">
            <v>0</v>
          </cell>
          <cell r="I66">
            <v>0</v>
          </cell>
          <cell r="J66">
            <v>2375.3828696723999</v>
          </cell>
          <cell r="N66">
            <v>1458.8564061853699</v>
          </cell>
          <cell r="R66">
            <v>730.63278619090613</v>
          </cell>
          <cell r="V66">
            <v>1659.9674591034177</v>
          </cell>
          <cell r="Z66">
            <v>742.97859501163009</v>
          </cell>
          <cell r="AC66">
            <v>6967.8181161637231</v>
          </cell>
          <cell r="AE66">
            <v>7125.6673368172851</v>
          </cell>
          <cell r="AK66">
            <v>2319.6052207968191</v>
          </cell>
        </row>
        <row r="67">
          <cell r="Z67">
            <v>921.81760860748204</v>
          </cell>
        </row>
        <row r="69">
          <cell r="I69">
            <v>1.8027956788766679</v>
          </cell>
          <cell r="J69">
            <v>6.0180119999999988</v>
          </cell>
          <cell r="O69">
            <v>5.7920036889787676</v>
          </cell>
          <cell r="S69">
            <v>0.38008134769021251</v>
          </cell>
          <cell r="W69">
            <v>2.0737325273072513</v>
          </cell>
          <cell r="AF69">
            <v>59.368302904791122</v>
          </cell>
          <cell r="AK69">
            <v>32.323452895649176</v>
          </cell>
        </row>
        <row r="70">
          <cell r="I70">
            <v>33.051254112738917</v>
          </cell>
          <cell r="J70">
            <v>717.25205402919096</v>
          </cell>
          <cell r="O70">
            <v>651.44819626760705</v>
          </cell>
          <cell r="S70">
            <v>42.52943098116004</v>
          </cell>
          <cell r="W70">
            <v>231.93088811110553</v>
          </cell>
          <cell r="AF70">
            <v>1585.8912999828217</v>
          </cell>
          <cell r="AK70">
            <v>864.69085783515231</v>
          </cell>
        </row>
        <row r="71">
          <cell r="I71">
            <v>10.215842180301118</v>
          </cell>
          <cell r="J71">
            <v>180.362183634243</v>
          </cell>
          <cell r="O71">
            <v>166.17485520759993</v>
          </cell>
          <cell r="S71">
            <v>10.806489372823307</v>
          </cell>
          <cell r="W71">
            <v>58.845861850433224</v>
          </cell>
          <cell r="AF71">
            <v>1255.0674461804342</v>
          </cell>
          <cell r="AK71">
            <v>683.07390267878236</v>
          </cell>
        </row>
        <row r="72">
          <cell r="I72">
            <v>71.210429315628375</v>
          </cell>
          <cell r="J72">
            <v>117.15721157692946</v>
          </cell>
          <cell r="O72">
            <v>1760.5721155053666</v>
          </cell>
          <cell r="S72">
            <v>114.20471386259544</v>
          </cell>
          <cell r="W72">
            <v>622.46071573506913</v>
          </cell>
          <cell r="AF72">
            <v>2930.2823017279425</v>
          </cell>
          <cell r="AK72">
            <v>1589.0814396694329</v>
          </cell>
        </row>
        <row r="74">
          <cell r="I74">
            <v>18.328422735246125</v>
          </cell>
          <cell r="J74">
            <v>266.60184024319364</v>
          </cell>
          <cell r="O74">
            <v>295.88343677817215</v>
          </cell>
          <cell r="S74">
            <v>19.279107125254964</v>
          </cell>
          <cell r="W74">
            <v>105.28419322483811</v>
          </cell>
          <cell r="AF74">
            <v>1224.3128951221333</v>
          </cell>
          <cell r="AK74">
            <v>665.65040318872298</v>
          </cell>
        </row>
        <row r="75">
          <cell r="I75">
            <v>165.85720245665345</v>
          </cell>
          <cell r="J75">
            <v>1089.0839835147108</v>
          </cell>
          <cell r="O75">
            <v>3052.9672425522749</v>
          </cell>
          <cell r="S75">
            <v>199.98098224767142</v>
          </cell>
          <cell r="W75">
            <v>1091.2881285512472</v>
          </cell>
          <cell r="AF75">
            <v>4886.7620723977152</v>
          </cell>
          <cell r="AK75">
            <v>2664.5677111670161</v>
          </cell>
        </row>
        <row r="78">
          <cell r="B78">
            <v>833.55524556656474</v>
          </cell>
          <cell r="I78">
            <v>1825.7978565975825</v>
          </cell>
          <cell r="J78">
            <v>4381.9346054074567</v>
          </cell>
          <cell r="L78">
            <v>55.674676558560002</v>
          </cell>
          <cell r="P78">
            <v>4522.4494799999993</v>
          </cell>
          <cell r="T78">
            <v>378.84247582991998</v>
          </cell>
          <cell r="X78">
            <v>1044.95</v>
          </cell>
          <cell r="AK78">
            <v>7101.342039694272</v>
          </cell>
        </row>
        <row r="79">
          <cell r="J79">
            <v>115.78035255836581</v>
          </cell>
          <cell r="N79">
            <v>266.01769739980404</v>
          </cell>
          <cell r="R79">
            <v>1.153913253001231</v>
          </cell>
          <cell r="AD79">
            <v>2942.3287623978476</v>
          </cell>
          <cell r="AK79">
            <v>643.02045595872141</v>
          </cell>
        </row>
        <row r="80">
          <cell r="J80">
            <v>260.16039000000001</v>
          </cell>
          <cell r="N80">
            <v>1000.7332425992629</v>
          </cell>
          <cell r="R80">
            <v>6.5388417670069758</v>
          </cell>
          <cell r="AD80">
            <v>4062.204028266462</v>
          </cell>
          <cell r="AK80">
            <v>882.81803720793766</v>
          </cell>
        </row>
        <row r="81">
          <cell r="I81">
            <v>2471.2964688907441</v>
          </cell>
          <cell r="AC81">
            <v>2471.2964688907441</v>
          </cell>
          <cell r="AK81">
            <v>511.11904970672134</v>
          </cell>
        </row>
        <row r="83">
          <cell r="B83">
            <v>938.12625497500994</v>
          </cell>
          <cell r="I83">
            <v>2080.2594476351983</v>
          </cell>
          <cell r="J83">
            <v>760.03536701375856</v>
          </cell>
          <cell r="L83">
            <v>47.019719365600004</v>
          </cell>
          <cell r="N83">
            <v>4140.960239997019</v>
          </cell>
          <cell r="R83">
            <v>823.64790471856668</v>
          </cell>
          <cell r="V83">
            <v>1315.2462768473033</v>
          </cell>
          <cell r="Z83">
            <v>640.69606174121304</v>
          </cell>
          <cell r="AA83">
            <v>299.80743700695291</v>
          </cell>
          <cell r="AB83">
            <v>1261.5381637603191</v>
          </cell>
          <cell r="AK83">
            <v>6562.9307701318639</v>
          </cell>
        </row>
        <row r="84">
          <cell r="B84">
            <v>0</v>
          </cell>
          <cell r="I84">
            <v>0</v>
          </cell>
          <cell r="J84">
            <v>54.973265617714418</v>
          </cell>
          <cell r="L84">
            <v>0</v>
          </cell>
          <cell r="N84">
            <v>0</v>
          </cell>
          <cell r="R84">
            <v>0</v>
          </cell>
          <cell r="V84">
            <v>0</v>
          </cell>
          <cell r="Z84">
            <v>0</v>
          </cell>
          <cell r="AA84">
            <v>0</v>
          </cell>
          <cell r="AB84">
            <v>0</v>
          </cell>
          <cell r="AK84">
            <v>378.13996541223025</v>
          </cell>
        </row>
        <row r="85">
          <cell r="B85">
            <v>935.29821296713249</v>
          </cell>
          <cell r="I85">
            <v>48.879627656943157</v>
          </cell>
          <cell r="J85">
            <v>126.55839031617117</v>
          </cell>
          <cell r="L85">
            <v>8.3220742240000006E-2</v>
          </cell>
          <cell r="N85">
            <v>6255.0414099954633</v>
          </cell>
          <cell r="R85">
            <v>924.55452362186361</v>
          </cell>
          <cell r="V85">
            <v>1348.4302480826498</v>
          </cell>
          <cell r="Z85">
            <v>721.66316221719751</v>
          </cell>
          <cell r="AA85">
            <v>782.31870271196021</v>
          </cell>
          <cell r="AB85">
            <v>1164.4967665479867</v>
          </cell>
          <cell r="AK85">
            <v>7752.0175329640178</v>
          </cell>
          <cell r="AM85">
            <v>37520.885246761391</v>
          </cell>
        </row>
        <row r="86">
          <cell r="B86">
            <v>0</v>
          </cell>
          <cell r="I86">
            <v>0</v>
          </cell>
          <cell r="J86">
            <v>0</v>
          </cell>
          <cell r="L86">
            <v>0</v>
          </cell>
          <cell r="N86">
            <v>85.692019999932896</v>
          </cell>
          <cell r="R86">
            <v>4.1698124411517208</v>
          </cell>
          <cell r="V86">
            <v>0</v>
          </cell>
          <cell r="Z86">
            <v>2.5083170279994964</v>
          </cell>
          <cell r="AA86">
            <v>24.419709789533378</v>
          </cell>
          <cell r="AB86">
            <v>0</v>
          </cell>
          <cell r="AK86">
            <v>594.2429313687428</v>
          </cell>
          <cell r="AM86">
            <v>4637.4127833075872</v>
          </cell>
        </row>
        <row r="90">
          <cell r="AC90">
            <v>8217.0523065483776</v>
          </cell>
        </row>
        <row r="91">
          <cell r="I91">
            <v>33.75</v>
          </cell>
          <cell r="J91">
            <v>0</v>
          </cell>
          <cell r="N91">
            <v>1199.424169999081</v>
          </cell>
          <cell r="R91">
            <v>7.2808776449509054</v>
          </cell>
          <cell r="Z91">
            <v>4.8850715053323608</v>
          </cell>
        </row>
        <row r="98">
          <cell r="B98">
            <v>813.5812605182598</v>
          </cell>
          <cell r="I98">
            <v>0</v>
          </cell>
          <cell r="J98">
            <v>0.75</v>
          </cell>
          <cell r="L98">
            <v>14.064305438560002</v>
          </cell>
          <cell r="N98">
            <v>226.14970999981415</v>
          </cell>
          <cell r="R98">
            <v>40.153466534887094</v>
          </cell>
          <cell r="V98">
            <v>0</v>
          </cell>
          <cell r="Z98">
            <v>32.503523079994018</v>
          </cell>
        </row>
        <row r="99">
          <cell r="B99">
            <v>1014.3926061271225</v>
          </cell>
          <cell r="I99">
            <v>113.57325249701499</v>
          </cell>
          <cell r="J99">
            <v>0</v>
          </cell>
          <cell r="L99">
            <v>88.713311227839995</v>
          </cell>
          <cell r="N99">
            <v>264.38198999978306</v>
          </cell>
          <cell r="R99">
            <v>40.199519753085809</v>
          </cell>
          <cell r="V99">
            <v>113.59818296758681</v>
          </cell>
          <cell r="Z99">
            <v>29.723452385327761</v>
          </cell>
        </row>
        <row r="100">
          <cell r="V100">
            <v>0</v>
          </cell>
          <cell r="Z100">
            <v>0</v>
          </cell>
        </row>
        <row r="101">
          <cell r="V101">
            <v>0</v>
          </cell>
          <cell r="Z101">
            <v>0</v>
          </cell>
        </row>
        <row r="102">
          <cell r="J102">
            <v>0</v>
          </cell>
          <cell r="V102">
            <v>113.59818296758681</v>
          </cell>
          <cell r="Z102">
            <v>29.723452385327761</v>
          </cell>
        </row>
        <row r="103">
          <cell r="B103">
            <v>0</v>
          </cell>
          <cell r="I103">
            <v>4.3129083226714542</v>
          </cell>
          <cell r="J103">
            <v>0</v>
          </cell>
          <cell r="L103">
            <v>6.82410086368</v>
          </cell>
          <cell r="N103">
            <v>0</v>
          </cell>
          <cell r="R103">
            <v>2.7341368726470465</v>
          </cell>
          <cell r="V103">
            <v>41.707499961464357</v>
          </cell>
          <cell r="Z103">
            <v>2.113629375999603</v>
          </cell>
        </row>
        <row r="104">
          <cell r="B104">
            <v>77.25</v>
          </cell>
          <cell r="I104">
            <v>78.75</v>
          </cell>
          <cell r="J104">
            <v>0</v>
          </cell>
          <cell r="L104">
            <v>272.54793083599998</v>
          </cell>
          <cell r="N104">
            <v>845.74687999934463</v>
          </cell>
          <cell r="R104">
            <v>36.5</v>
          </cell>
          <cell r="V104">
            <v>41.707499961464357</v>
          </cell>
          <cell r="Z104">
            <v>6.4724506786654388</v>
          </cell>
        </row>
        <row r="105">
          <cell r="B105">
            <v>0</v>
          </cell>
          <cell r="I105">
            <v>14.376361075571515</v>
          </cell>
          <cell r="J105">
            <v>0</v>
          </cell>
          <cell r="L105">
            <v>0</v>
          </cell>
          <cell r="N105">
            <v>978.16186999926663</v>
          </cell>
          <cell r="R105">
            <v>0</v>
          </cell>
          <cell r="V105">
            <v>0</v>
          </cell>
          <cell r="Z105">
            <v>0</v>
          </cell>
        </row>
        <row r="106">
          <cell r="B106">
            <v>76.5</v>
          </cell>
          <cell r="I106">
            <v>131.25</v>
          </cell>
          <cell r="J106">
            <v>0</v>
          </cell>
          <cell r="L106">
            <v>0</v>
          </cell>
          <cell r="N106">
            <v>658.30279999950312</v>
          </cell>
          <cell r="R106">
            <v>0</v>
          </cell>
          <cell r="V106">
            <v>0</v>
          </cell>
          <cell r="Z106">
            <v>0</v>
          </cell>
        </row>
        <row r="107">
          <cell r="B107">
            <v>76.780808615153376</v>
          </cell>
          <cell r="I107">
            <v>0</v>
          </cell>
          <cell r="J107">
            <v>0</v>
          </cell>
          <cell r="L107">
            <v>0</v>
          </cell>
          <cell r="N107">
            <v>0</v>
          </cell>
          <cell r="R107">
            <v>0</v>
          </cell>
          <cell r="V107">
            <v>0</v>
          </cell>
          <cell r="Z107">
            <v>0</v>
          </cell>
        </row>
        <row r="108">
          <cell r="B108">
            <v>205.24100764435229</v>
          </cell>
          <cell r="I108">
            <v>235.77232163937282</v>
          </cell>
          <cell r="J108">
            <v>0</v>
          </cell>
          <cell r="L108">
            <v>0</v>
          </cell>
          <cell r="N108">
            <v>14.066069999988047</v>
          </cell>
          <cell r="R108">
            <v>0</v>
          </cell>
          <cell r="V108">
            <v>372.80933102459244</v>
          </cell>
          <cell r="Z108">
            <v>0</v>
          </cell>
        </row>
        <row r="109">
          <cell r="AC109">
            <v>7954.7337469340582</v>
          </cell>
        </row>
        <row r="110">
          <cell r="B110">
            <v>812.84298351234497</v>
          </cell>
          <cell r="I110">
            <v>4580.3086386770847</v>
          </cell>
          <cell r="J110">
            <v>0</v>
          </cell>
          <cell r="K110">
            <v>0</v>
          </cell>
          <cell r="L110">
            <v>59.253168474879999</v>
          </cell>
          <cell r="N110">
            <v>0</v>
          </cell>
          <cell r="O110">
            <v>0</v>
          </cell>
          <cell r="P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Z110">
            <v>0</v>
          </cell>
          <cell r="AA110">
            <v>0</v>
          </cell>
          <cell r="AB110">
            <v>0</v>
          </cell>
        </row>
        <row r="111">
          <cell r="B111">
            <v>268.60039394302248</v>
          </cell>
          <cell r="I111">
            <v>326.34339641547342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O111">
            <v>0</v>
          </cell>
          <cell r="P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99.836367595414629</v>
          </cell>
          <cell r="W111">
            <v>0</v>
          </cell>
          <cell r="X111">
            <v>0</v>
          </cell>
          <cell r="Z111">
            <v>0</v>
          </cell>
          <cell r="AA111">
            <v>0</v>
          </cell>
          <cell r="AB111">
            <v>0</v>
          </cell>
        </row>
        <row r="112">
          <cell r="B112">
            <v>10.691860341421281</v>
          </cell>
          <cell r="I112">
            <v>1138.607797185264</v>
          </cell>
          <cell r="J112">
            <v>637.07335856042869</v>
          </cell>
          <cell r="K112">
            <v>0</v>
          </cell>
          <cell r="L112">
            <v>15.47905805664</v>
          </cell>
          <cell r="N112">
            <v>0</v>
          </cell>
          <cell r="O112">
            <v>0</v>
          </cell>
          <cell r="P112">
            <v>0</v>
          </cell>
          <cell r="R112">
            <v>0</v>
          </cell>
          <cell r="S112">
            <v>5.6967241720845596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Z112">
            <v>0</v>
          </cell>
          <cell r="AA112">
            <v>0</v>
          </cell>
          <cell r="AB112">
            <v>0</v>
          </cell>
        </row>
        <row r="113">
          <cell r="B113">
            <v>25.10141820110784</v>
          </cell>
          <cell r="I113">
            <v>260.21213546784446</v>
          </cell>
          <cell r="J113">
            <v>1121.7286286480667</v>
          </cell>
          <cell r="K113">
            <v>1690.5177971999999</v>
          </cell>
          <cell r="L113">
            <v>93.807231308799985</v>
          </cell>
          <cell r="N113">
            <v>3207.7574399975692</v>
          </cell>
          <cell r="O113">
            <v>0</v>
          </cell>
          <cell r="P113">
            <v>0</v>
          </cell>
          <cell r="R113">
            <v>42.494420334189556</v>
          </cell>
          <cell r="S113">
            <v>0</v>
          </cell>
          <cell r="T113">
            <v>0</v>
          </cell>
          <cell r="V113">
            <v>397.20082460391961</v>
          </cell>
          <cell r="W113">
            <v>0</v>
          </cell>
          <cell r="X113">
            <v>0</v>
          </cell>
          <cell r="Z113">
            <v>32.898210731993913</v>
          </cell>
          <cell r="AA113">
            <v>0</v>
          </cell>
          <cell r="AB113">
            <v>0</v>
          </cell>
          <cell r="AC113">
            <v>6871.7181064934921</v>
          </cell>
          <cell r="AL113">
            <v>2174.6</v>
          </cell>
        </row>
        <row r="114">
          <cell r="J114">
            <v>25.688441877436645</v>
          </cell>
          <cell r="K114">
            <v>0</v>
          </cell>
          <cell r="L114">
            <v>0</v>
          </cell>
          <cell r="N114">
            <v>279.33528999979967</v>
          </cell>
          <cell r="O114">
            <v>0</v>
          </cell>
          <cell r="P114">
            <v>0</v>
          </cell>
          <cell r="R114">
            <v>28.871713351628006</v>
          </cell>
          <cell r="S114">
            <v>0</v>
          </cell>
          <cell r="T114">
            <v>0</v>
          </cell>
          <cell r="V114">
            <v>207.74933893066012</v>
          </cell>
          <cell r="W114">
            <v>0</v>
          </cell>
          <cell r="X114">
            <v>0</v>
          </cell>
          <cell r="Z114">
            <v>17.952906847996367</v>
          </cell>
          <cell r="AA114">
            <v>3.4390247067069755</v>
          </cell>
          <cell r="AB114">
            <v>0</v>
          </cell>
          <cell r="AC114">
            <v>563.03671571422774</v>
          </cell>
        </row>
        <row r="115">
          <cell r="B115">
            <v>456.25518965543063</v>
          </cell>
          <cell r="I115">
            <v>431.29083226714545</v>
          </cell>
          <cell r="J115">
            <v>2406.1507225198989</v>
          </cell>
          <cell r="K115">
            <v>0</v>
          </cell>
          <cell r="L115">
            <v>6.3422312145599999</v>
          </cell>
          <cell r="N115">
            <v>259.00477999980205</v>
          </cell>
          <cell r="O115">
            <v>0</v>
          </cell>
          <cell r="P115">
            <v>0</v>
          </cell>
          <cell r="R115">
            <v>5.5063566909376984</v>
          </cell>
          <cell r="S115">
            <v>0</v>
          </cell>
          <cell r="T115">
            <v>0</v>
          </cell>
          <cell r="V115">
            <v>166.04183896919579</v>
          </cell>
          <cell r="W115">
            <v>0</v>
          </cell>
          <cell r="X115">
            <v>0</v>
          </cell>
          <cell r="Z115">
            <v>4.227258751999206</v>
          </cell>
          <cell r="AA115">
            <v>0</v>
          </cell>
          <cell r="AB115">
            <v>0</v>
          </cell>
          <cell r="AC115">
            <v>3734.8192100689694</v>
          </cell>
        </row>
        <row r="116">
          <cell r="AC116">
            <v>3042.752863055086</v>
          </cell>
          <cell r="AL116">
            <v>3608.8884757142282</v>
          </cell>
        </row>
      </sheetData>
      <sheetData sheetId="5">
        <row r="4">
          <cell r="L4">
            <v>1414.8522500000001</v>
          </cell>
        </row>
        <row r="16">
          <cell r="C16">
            <v>22.713214790000002</v>
          </cell>
          <cell r="D16">
            <v>545.72681380500001</v>
          </cell>
          <cell r="E16">
            <v>302.43064853500005</v>
          </cell>
          <cell r="F16">
            <v>923.43410833500013</v>
          </cell>
          <cell r="H16">
            <v>144.39650160000002</v>
          </cell>
          <cell r="I16">
            <v>780.39644370000008</v>
          </cell>
          <cell r="J16">
            <v>1099.1627192349999</v>
          </cell>
        </row>
        <row r="17">
          <cell r="C17">
            <v>1.2284769173827177</v>
          </cell>
          <cell r="D17">
            <v>79.969134975639435</v>
          </cell>
          <cell r="E17">
            <v>5.136616099412608</v>
          </cell>
          <cell r="F17">
            <v>171.39360761074255</v>
          </cell>
          <cell r="H17">
            <v>14.211470740676594</v>
          </cell>
          <cell r="I17">
            <v>341.17668714899412</v>
          </cell>
          <cell r="J17">
            <v>499.3440065071519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4.4550000000000001</v>
          </cell>
          <cell r="D19">
            <v>301.72499999999997</v>
          </cell>
          <cell r="E19">
            <v>12.150000000000002</v>
          </cell>
          <cell r="F19">
            <v>621.27</v>
          </cell>
          <cell r="H19">
            <v>50.625</v>
          </cell>
          <cell r="I19">
            <v>1203.6600000000001</v>
          </cell>
          <cell r="J19">
            <v>1856.1149999999998</v>
          </cell>
        </row>
        <row r="22">
          <cell r="C22">
            <v>0.16564329288909954</v>
          </cell>
          <cell r="D22">
            <v>10.782742971743627</v>
          </cell>
          <cell r="E22">
            <v>0.69260235416274862</v>
          </cell>
          <cell r="F22">
            <v>23.110081388644431</v>
          </cell>
          <cell r="H22">
            <v>1.9162222561723472</v>
          </cell>
          <cell r="I22">
            <v>46.003005116902287</v>
          </cell>
          <cell r="J22">
            <v>67.32970261948546</v>
          </cell>
        </row>
        <row r="26">
          <cell r="C26">
            <v>0.37269740900047388</v>
          </cell>
          <cell r="D26">
            <v>24.261171686423161</v>
          </cell>
          <cell r="E26">
            <v>1.5583552968661842</v>
          </cell>
          <cell r="F26">
            <v>51.997683124449971</v>
          </cell>
          <cell r="H26">
            <v>4.3115000763877802</v>
          </cell>
          <cell r="I26">
            <v>103.50676151303016</v>
          </cell>
          <cell r="J26">
            <v>151.49183089384229</v>
          </cell>
        </row>
        <row r="40">
          <cell r="L40">
            <v>17907.527707953912</v>
          </cell>
        </row>
        <row r="44">
          <cell r="L44">
            <v>0</v>
          </cell>
        </row>
      </sheetData>
      <sheetData sheetId="6">
        <row r="4">
          <cell r="K4">
            <v>928.98087750000002</v>
          </cell>
          <cell r="M4">
            <v>1201.6032699999998</v>
          </cell>
        </row>
        <row r="11">
          <cell r="K11">
            <v>0</v>
          </cell>
          <cell r="M11">
            <v>0</v>
          </cell>
        </row>
        <row r="12">
          <cell r="K12">
            <v>0</v>
          </cell>
          <cell r="M12">
            <v>0</v>
          </cell>
        </row>
        <row r="16">
          <cell r="C16">
            <v>30.800543999999871</v>
          </cell>
          <cell r="D16">
            <v>647.93538149999995</v>
          </cell>
          <cell r="E16">
            <v>556.37137499999994</v>
          </cell>
          <cell r="F16">
            <v>1294.8825539999998</v>
          </cell>
          <cell r="H16">
            <v>222.40882199999999</v>
          </cell>
          <cell r="I16">
            <v>1002.8663235</v>
          </cell>
          <cell r="M16">
            <v>1960.85</v>
          </cell>
        </row>
        <row r="17">
          <cell r="C17">
            <v>0</v>
          </cell>
          <cell r="D17">
            <v>69.819749999999999</v>
          </cell>
          <cell r="E17">
            <v>0.32174999999999998</v>
          </cell>
          <cell r="F17">
            <v>60.488999999999997</v>
          </cell>
          <cell r="H17">
            <v>4.5044999999999993</v>
          </cell>
          <cell r="I17">
            <v>186.61499999999998</v>
          </cell>
          <cell r="M17">
            <v>123.75</v>
          </cell>
        </row>
        <row r="18">
          <cell r="C18">
            <v>0</v>
          </cell>
          <cell r="D18">
            <v>2.1157499999999998</v>
          </cell>
          <cell r="E18">
            <v>9.75E-3</v>
          </cell>
          <cell r="F18">
            <v>1.833</v>
          </cell>
          <cell r="H18">
            <v>0.13649999999999998</v>
          </cell>
          <cell r="I18">
            <v>5.6549999999999994</v>
          </cell>
          <cell r="M18">
            <v>3.75</v>
          </cell>
        </row>
        <row r="20">
          <cell r="C20">
            <v>1.2366175390069341</v>
          </cell>
          <cell r="D20">
            <v>255.40366717191893</v>
          </cell>
          <cell r="E20">
            <v>64.899869277147502</v>
          </cell>
          <cell r="F20">
            <v>685.84519547430307</v>
          </cell>
          <cell r="H20">
            <v>115.8917118312024</v>
          </cell>
          <cell r="I20">
            <v>1200.4374387064211</v>
          </cell>
          <cell r="M20">
            <v>2403.8474999999999</v>
          </cell>
        </row>
        <row r="21">
          <cell r="C21">
            <v>104.16275999999999</v>
          </cell>
          <cell r="D21">
            <v>1097.3518200000001</v>
          </cell>
          <cell r="E21">
            <v>2146.1823899999999</v>
          </cell>
          <cell r="F21">
            <v>1907.3785500000001</v>
          </cell>
          <cell r="H21">
            <v>2001.4605000000001</v>
          </cell>
          <cell r="I21">
            <v>2639.2709699999996</v>
          </cell>
          <cell r="M21">
            <v>8162.8631999999998</v>
          </cell>
        </row>
        <row r="22">
          <cell r="C22">
            <v>3.0599999999999996</v>
          </cell>
          <cell r="D22">
            <v>330.48</v>
          </cell>
          <cell r="E22">
            <v>82.62</v>
          </cell>
          <cell r="F22">
            <v>798.66</v>
          </cell>
          <cell r="H22">
            <v>128.52000000000001</v>
          </cell>
          <cell r="I22">
            <v>1716.66</v>
          </cell>
          <cell r="M22">
            <v>2520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  <cell r="M25">
            <v>4759.9500000000007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H26">
            <v>0</v>
          </cell>
          <cell r="I26">
            <v>0</v>
          </cell>
          <cell r="M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  <cell r="M27">
            <v>495.75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H29">
            <v>0</v>
          </cell>
          <cell r="I29">
            <v>0</v>
          </cell>
          <cell r="M29">
            <v>75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0</v>
          </cell>
        </row>
        <row r="41">
          <cell r="K41">
            <v>0</v>
          </cell>
        </row>
        <row r="42">
          <cell r="K42">
            <v>11108.843406414908</v>
          </cell>
          <cell r="M42">
            <v>13043.204339960086</v>
          </cell>
        </row>
        <row r="43">
          <cell r="K43">
            <v>11943.594318315838</v>
          </cell>
          <cell r="M43">
            <v>0</v>
          </cell>
        </row>
        <row r="45">
          <cell r="C45">
            <v>32.323452895649176</v>
          </cell>
          <cell r="D45">
            <v>864.69085783515231</v>
          </cell>
          <cell r="E45">
            <v>683.07390267878236</v>
          </cell>
          <cell r="F45">
            <v>1589.0814396694329</v>
          </cell>
          <cell r="H45">
            <v>665.65040318872298</v>
          </cell>
          <cell r="I45">
            <v>2664.5677111670161</v>
          </cell>
          <cell r="M45">
            <v>7101.342039694272</v>
          </cell>
        </row>
        <row r="47">
          <cell r="K47">
            <v>0</v>
          </cell>
        </row>
      </sheetData>
      <sheetData sheetId="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H4">
            <v>39286.5</v>
          </cell>
          <cell r="J4">
            <v>0</v>
          </cell>
        </row>
        <row r="5">
          <cell r="F5">
            <v>0</v>
          </cell>
          <cell r="G5">
            <v>0</v>
          </cell>
          <cell r="J5">
            <v>35.552500000000002</v>
          </cell>
        </row>
        <row r="6">
          <cell r="H6">
            <v>603.23500000000001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H9">
            <v>4213.4771250000003</v>
          </cell>
          <cell r="I9">
            <v>0</v>
          </cell>
          <cell r="J9">
            <v>2408.9597550000003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H10">
            <v>294.64875000000001</v>
          </cell>
          <cell r="I10">
            <v>0</v>
          </cell>
          <cell r="J10">
            <v>131.59399999999999</v>
          </cell>
        </row>
        <row r="12">
          <cell r="F12">
            <v>0</v>
          </cell>
          <cell r="I12">
            <v>0</v>
          </cell>
        </row>
        <row r="13">
          <cell r="I13">
            <v>0</v>
          </cell>
        </row>
        <row r="14">
          <cell r="D14">
            <v>150000</v>
          </cell>
          <cell r="E14">
            <v>18000</v>
          </cell>
          <cell r="F14" t="e">
            <v>#DIV/0!</v>
          </cell>
          <cell r="I14" t="e">
            <v>#DIV/0!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H15">
            <v>1509.7418600000001</v>
          </cell>
          <cell r="I15">
            <v>0</v>
          </cell>
          <cell r="J15">
            <v>262.13727047768361</v>
          </cell>
        </row>
        <row r="16">
          <cell r="H16">
            <v>1798.7725</v>
          </cell>
          <cell r="J16">
            <v>1510.9664073949998</v>
          </cell>
        </row>
        <row r="17">
          <cell r="H17">
            <v>82.5</v>
          </cell>
          <cell r="J17">
            <v>105</v>
          </cell>
        </row>
        <row r="18">
          <cell r="G18">
            <v>0</v>
          </cell>
          <cell r="H18">
            <v>282.75</v>
          </cell>
          <cell r="I18">
            <v>0</v>
          </cell>
          <cell r="J18">
            <v>900</v>
          </cell>
        </row>
        <row r="19">
          <cell r="H19">
            <v>913.43268000000012</v>
          </cell>
          <cell r="I19">
            <v>0</v>
          </cell>
          <cell r="J19">
            <v>54.777059999999999</v>
          </cell>
        </row>
        <row r="20">
          <cell r="G20">
            <v>0</v>
          </cell>
          <cell r="H20">
            <v>1020</v>
          </cell>
          <cell r="I20">
            <v>0</v>
          </cell>
          <cell r="J20">
            <v>1200</v>
          </cell>
        </row>
        <row r="21">
          <cell r="H21">
            <v>319.87200000000001</v>
          </cell>
          <cell r="J21">
            <v>376.32</v>
          </cell>
        </row>
        <row r="23">
          <cell r="G23">
            <v>0</v>
          </cell>
          <cell r="H23">
            <v>112.5</v>
          </cell>
          <cell r="I23">
            <v>0</v>
          </cell>
          <cell r="J23">
            <v>90</v>
          </cell>
        </row>
        <row r="27">
          <cell r="H27">
            <v>270</v>
          </cell>
          <cell r="I27">
            <v>0</v>
          </cell>
          <cell r="J27">
            <v>0</v>
          </cell>
        </row>
        <row r="40">
          <cell r="H40">
            <v>1267.4324743662698</v>
          </cell>
          <cell r="J40">
            <v>382.95196321117106</v>
          </cell>
        </row>
        <row r="41">
          <cell r="H41">
            <v>4053.341768404478</v>
          </cell>
          <cell r="J41">
            <v>2952.3430222598317</v>
          </cell>
        </row>
        <row r="43">
          <cell r="H43">
            <v>882.81803720793766</v>
          </cell>
        </row>
        <row r="45">
          <cell r="H45">
            <v>1672.6638444978687</v>
          </cell>
          <cell r="J45">
            <v>150</v>
          </cell>
        </row>
      </sheetData>
      <sheetData sheetId="8">
        <row r="2">
          <cell r="D2">
            <v>935.04049999999995</v>
          </cell>
        </row>
        <row r="7">
          <cell r="H7">
            <v>0</v>
          </cell>
        </row>
        <row r="8">
          <cell r="H8">
            <v>0</v>
          </cell>
        </row>
        <row r="10">
          <cell r="B10">
            <v>165.75</v>
          </cell>
          <cell r="H10">
            <v>165.75</v>
          </cell>
        </row>
        <row r="11">
          <cell r="B11">
            <v>12.75</v>
          </cell>
          <cell r="H11">
            <v>12.75</v>
          </cell>
        </row>
        <row r="19">
          <cell r="B19">
            <v>32.25</v>
          </cell>
          <cell r="H19">
            <v>32.25</v>
          </cell>
        </row>
        <row r="20">
          <cell r="B20">
            <v>36614.125354433745</v>
          </cell>
          <cell r="H20">
            <v>36614.125354433745</v>
          </cell>
        </row>
        <row r="21">
          <cell r="B21">
            <v>385.41184583614466</v>
          </cell>
          <cell r="H21">
            <v>385.41184583614466</v>
          </cell>
        </row>
        <row r="23">
          <cell r="D23">
            <v>22641.893925203625</v>
          </cell>
          <cell r="E23">
            <v>849</v>
          </cell>
          <cell r="H23">
            <v>23490.893925203625</v>
          </cell>
        </row>
        <row r="24">
          <cell r="D24">
            <v>2385.1630508394996</v>
          </cell>
          <cell r="E24">
            <v>1080</v>
          </cell>
          <cell r="H24">
            <v>4348.9407608394995</v>
          </cell>
        </row>
        <row r="25">
          <cell r="D25">
            <v>3962.6433900000002</v>
          </cell>
          <cell r="E25">
            <v>55.096409999999999</v>
          </cell>
          <cell r="H25">
            <v>9087.5859900000014</v>
          </cell>
        </row>
        <row r="26">
          <cell r="H26">
            <v>22905</v>
          </cell>
        </row>
        <row r="29">
          <cell r="B29">
            <v>1125</v>
          </cell>
          <cell r="C29">
            <v>0</v>
          </cell>
          <cell r="D29">
            <v>857.25</v>
          </cell>
          <cell r="E29">
            <v>0</v>
          </cell>
          <cell r="F29">
            <v>0</v>
          </cell>
          <cell r="H29">
            <v>1982.25</v>
          </cell>
        </row>
        <row r="30">
          <cell r="H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</row>
        <row r="33">
          <cell r="B33">
            <v>1508.1100000000001</v>
          </cell>
          <cell r="C33">
            <v>0</v>
          </cell>
          <cell r="D33">
            <v>1871</v>
          </cell>
          <cell r="E33">
            <v>45</v>
          </cell>
          <cell r="F33">
            <v>0</v>
          </cell>
          <cell r="H33">
            <v>3424.11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49">
          <cell r="H49">
            <v>24786.424262796882</v>
          </cell>
        </row>
        <row r="64">
          <cell r="H64">
            <v>73915.31901363637</v>
          </cell>
        </row>
      </sheetData>
      <sheetData sheetId="9">
        <row r="62">
          <cell r="N62">
            <v>5853.1877290142302</v>
          </cell>
        </row>
      </sheetData>
      <sheetData sheetId="10">
        <row r="18">
          <cell r="E18">
            <v>75000</v>
          </cell>
          <cell r="F18">
            <v>75000</v>
          </cell>
        </row>
        <row r="19">
          <cell r="F19">
            <v>0</v>
          </cell>
        </row>
        <row r="20">
          <cell r="E20">
            <v>0</v>
          </cell>
          <cell r="F20">
            <v>0</v>
          </cell>
        </row>
        <row r="32">
          <cell r="E32">
            <v>8000</v>
          </cell>
        </row>
        <row r="37">
          <cell r="E37">
            <v>193640.91804867348</v>
          </cell>
          <cell r="F37">
            <v>190345.45936408418</v>
          </cell>
        </row>
        <row r="38">
          <cell r="F38">
            <v>1970.3286508917395</v>
          </cell>
        </row>
        <row r="39">
          <cell r="F39">
            <v>10021.875450000001</v>
          </cell>
        </row>
        <row r="40">
          <cell r="F40">
            <v>31653.933250000002</v>
          </cell>
        </row>
        <row r="41">
          <cell r="F41">
            <v>7316.9600000000009</v>
          </cell>
        </row>
        <row r="42">
          <cell r="F42">
            <v>1737.9641560000002</v>
          </cell>
        </row>
        <row r="43">
          <cell r="F43">
            <v>7122.8249999999998</v>
          </cell>
        </row>
        <row r="44">
          <cell r="F44">
            <v>1375.7184999999999</v>
          </cell>
        </row>
        <row r="45">
          <cell r="F45">
            <v>415.55387866666672</v>
          </cell>
        </row>
        <row r="46">
          <cell r="F46">
            <v>35981.164040519929</v>
          </cell>
        </row>
        <row r="48">
          <cell r="E48">
            <v>23490.893925203625</v>
          </cell>
        </row>
        <row r="49">
          <cell r="E49">
            <v>22954.505260839498</v>
          </cell>
        </row>
        <row r="50">
          <cell r="E50">
            <v>88617.600000000006</v>
          </cell>
          <cell r="F50">
            <v>77097.312000000005</v>
          </cell>
        </row>
        <row r="51">
          <cell r="E51">
            <v>27790.479359999998</v>
          </cell>
          <cell r="F51">
            <v>27790.479359999998</v>
          </cell>
        </row>
        <row r="53">
          <cell r="E53">
            <v>10624.775</v>
          </cell>
          <cell r="F53">
            <v>10624.775</v>
          </cell>
        </row>
        <row r="54">
          <cell r="E54">
            <v>3873</v>
          </cell>
          <cell r="F54">
            <v>3873</v>
          </cell>
        </row>
        <row r="55">
          <cell r="E55">
            <v>4278.29</v>
          </cell>
          <cell r="F55">
            <v>4278.29</v>
          </cell>
        </row>
        <row r="57">
          <cell r="E57">
            <v>23908.510000000002</v>
          </cell>
          <cell r="F57">
            <v>23908.510000000002</v>
          </cell>
        </row>
        <row r="58">
          <cell r="E58">
            <v>0</v>
          </cell>
          <cell r="F58">
            <v>0</v>
          </cell>
        </row>
        <row r="59">
          <cell r="E59">
            <v>3051.8028599999998</v>
          </cell>
          <cell r="F59">
            <v>3051.8028599999998</v>
          </cell>
        </row>
        <row r="60">
          <cell r="E60">
            <v>40.5</v>
          </cell>
          <cell r="F60">
            <v>40.5</v>
          </cell>
        </row>
        <row r="61">
          <cell r="E61">
            <v>267</v>
          </cell>
          <cell r="F61">
            <v>267</v>
          </cell>
        </row>
        <row r="62">
          <cell r="E62">
            <v>191.7</v>
          </cell>
          <cell r="F62">
            <v>191.7</v>
          </cell>
        </row>
        <row r="63">
          <cell r="E63">
            <v>2866</v>
          </cell>
          <cell r="F63">
            <v>2866</v>
          </cell>
        </row>
        <row r="64">
          <cell r="E64">
            <v>209.8</v>
          </cell>
          <cell r="F64">
            <v>209.8</v>
          </cell>
        </row>
        <row r="65">
          <cell r="F65">
            <v>0</v>
          </cell>
        </row>
        <row r="67">
          <cell r="E67">
            <v>9520</v>
          </cell>
          <cell r="F67">
            <v>9520</v>
          </cell>
        </row>
        <row r="68">
          <cell r="E68">
            <v>3605.2181199999995</v>
          </cell>
          <cell r="F68">
            <v>3605.2181199999995</v>
          </cell>
        </row>
        <row r="69">
          <cell r="E69">
            <v>6000</v>
          </cell>
          <cell r="F69">
            <v>6000</v>
          </cell>
        </row>
        <row r="70">
          <cell r="B70" t="str">
            <v>КАПВЛОЖЕНИЯ (автомашины, комбайн, холод)</v>
          </cell>
          <cell r="E70">
            <v>11283</v>
          </cell>
          <cell r="F70">
            <v>11283</v>
          </cell>
        </row>
        <row r="72">
          <cell r="E72">
            <v>45000</v>
          </cell>
          <cell r="F72">
            <v>45000</v>
          </cell>
        </row>
        <row r="73">
          <cell r="E73">
            <v>954</v>
          </cell>
          <cell r="F73">
            <v>954</v>
          </cell>
        </row>
        <row r="74">
          <cell r="E74">
            <v>66692</v>
          </cell>
          <cell r="F74">
            <v>66692</v>
          </cell>
        </row>
        <row r="75">
          <cell r="E75">
            <v>6598.8109589041087</v>
          </cell>
          <cell r="F75">
            <v>6598.8109589041087</v>
          </cell>
        </row>
        <row r="76">
          <cell r="E76">
            <v>11572.536073972604</v>
          </cell>
          <cell r="F76">
            <v>11572.536073972604</v>
          </cell>
        </row>
        <row r="77">
          <cell r="E77">
            <v>11520.288</v>
          </cell>
          <cell r="F77">
            <v>11520.288</v>
          </cell>
        </row>
        <row r="78">
          <cell r="F78">
            <v>0</v>
          </cell>
        </row>
        <row r="79">
          <cell r="E79">
            <v>0</v>
          </cell>
          <cell r="F79">
            <v>0</v>
          </cell>
        </row>
        <row r="81">
          <cell r="F81">
            <v>54.5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90</v>
          </cell>
        </row>
        <row r="88">
          <cell r="F88">
            <v>0</v>
          </cell>
        </row>
        <row r="89">
          <cell r="E89">
            <v>1.3888897763888888E-12</v>
          </cell>
          <cell r="F89">
            <v>1.3888897763888888E-12</v>
          </cell>
        </row>
        <row r="90">
          <cell r="F90">
            <v>0</v>
          </cell>
        </row>
        <row r="91">
          <cell r="F91">
            <v>6480</v>
          </cell>
        </row>
      </sheetData>
      <sheetData sheetId="11">
        <row r="39">
          <cell r="C39">
            <v>4115.807205479452</v>
          </cell>
        </row>
        <row r="44">
          <cell r="C44">
            <v>6598.8109589041087</v>
          </cell>
        </row>
        <row r="45">
          <cell r="C45">
            <v>11572.536073972604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1500</v>
          </cell>
        </row>
        <row r="50">
          <cell r="C50">
            <v>2610</v>
          </cell>
        </row>
        <row r="51">
          <cell r="C51">
            <v>2250</v>
          </cell>
        </row>
        <row r="54">
          <cell r="C54">
            <v>54.5</v>
          </cell>
        </row>
        <row r="55">
          <cell r="C55">
            <v>0</v>
          </cell>
        </row>
        <row r="60">
          <cell r="C60">
            <v>90</v>
          </cell>
        </row>
        <row r="61">
          <cell r="C61">
            <v>75</v>
          </cell>
        </row>
        <row r="64">
          <cell r="C64">
            <v>202</v>
          </cell>
        </row>
      </sheetData>
      <sheetData sheetId="12">
        <row r="83">
          <cell r="D83">
            <v>0</v>
          </cell>
        </row>
      </sheetData>
      <sheetData sheetId="13">
        <row r="25">
          <cell r="O25">
            <v>9.9999999999999994E-12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в-во Шув-1"/>
      <sheetName val="св-во Шув-2"/>
      <sheetName val="КРС"/>
      <sheetName val="реализация"/>
      <sheetName val="затраты вспом."/>
      <sheetName val="затраты св-во Шув-1"/>
      <sheetName val="затраты св-во шув-2"/>
      <sheetName val="затраты КРС"/>
      <sheetName val="пром.пр-во"/>
      <sheetName val="произ.затраты"/>
      <sheetName val="БДДС"/>
      <sheetName val="БДР"/>
      <sheetName val="сводная"/>
      <sheetName val="св-во Шув-4"/>
    </sheetNames>
    <sheetDataSet>
      <sheetData sheetId="0">
        <row r="7">
          <cell r="J7">
            <v>0</v>
          </cell>
          <cell r="K7">
            <v>0</v>
          </cell>
          <cell r="AB7">
            <v>890</v>
          </cell>
        </row>
        <row r="10">
          <cell r="J10">
            <v>79</v>
          </cell>
          <cell r="K10">
            <v>11.895</v>
          </cell>
          <cell r="M10">
            <v>76</v>
          </cell>
          <cell r="N10">
            <v>11.445</v>
          </cell>
          <cell r="S10">
            <v>3</v>
          </cell>
          <cell r="T10">
            <v>0.44999999999999996</v>
          </cell>
          <cell r="U10">
            <v>0</v>
          </cell>
          <cell r="V10">
            <v>0</v>
          </cell>
          <cell r="AB10">
            <v>59927.5</v>
          </cell>
        </row>
        <row r="13">
          <cell r="J13">
            <v>79</v>
          </cell>
          <cell r="K13">
            <v>11.895</v>
          </cell>
          <cell r="M13">
            <v>79</v>
          </cell>
          <cell r="N13">
            <v>11.895</v>
          </cell>
          <cell r="O13">
            <v>0</v>
          </cell>
          <cell r="P13">
            <v>0</v>
          </cell>
          <cell r="U13">
            <v>0</v>
          </cell>
          <cell r="V13">
            <v>0</v>
          </cell>
          <cell r="AB13">
            <v>6926</v>
          </cell>
        </row>
        <row r="16">
          <cell r="H16">
            <v>280</v>
          </cell>
          <cell r="I16">
            <v>22.4</v>
          </cell>
          <cell r="J16">
            <v>117</v>
          </cell>
          <cell r="K16">
            <v>12.284999999999998</v>
          </cell>
          <cell r="L16">
            <v>1.3880000000000026</v>
          </cell>
          <cell r="M16">
            <v>79</v>
          </cell>
          <cell r="N16">
            <v>11.895</v>
          </cell>
          <cell r="O16">
            <v>36</v>
          </cell>
          <cell r="P16">
            <v>5.4799999999999995</v>
          </cell>
          <cell r="Q16">
            <v>376</v>
          </cell>
          <cell r="R16">
            <v>39.479999999999997</v>
          </cell>
          <cell r="S16">
            <v>1.2000000000000002</v>
          </cell>
          <cell r="T16">
            <v>0.19800000000000001</v>
          </cell>
          <cell r="U16">
            <v>0</v>
          </cell>
          <cell r="V16">
            <v>0</v>
          </cell>
          <cell r="AA16">
            <v>1982.8571428571465</v>
          </cell>
          <cell r="AB16">
            <v>22515.800000000003</v>
          </cell>
        </row>
        <row r="19">
          <cell r="D19">
            <v>4680</v>
          </cell>
          <cell r="E19">
            <v>6.5519999999999996</v>
          </cell>
          <cell r="L19">
            <v>29.858999987200001</v>
          </cell>
          <cell r="M19">
            <v>4507</v>
          </cell>
          <cell r="N19">
            <v>36.056000000000004</v>
          </cell>
          <cell r="S19">
            <v>468</v>
          </cell>
          <cell r="T19">
            <v>0.76799998719999996</v>
          </cell>
          <cell r="AA19">
            <v>126521.18638644071</v>
          </cell>
          <cell r="AB19">
            <v>159839</v>
          </cell>
        </row>
        <row r="22">
          <cell r="H22">
            <v>0</v>
          </cell>
          <cell r="I22">
            <v>0</v>
          </cell>
          <cell r="J22">
            <v>4507</v>
          </cell>
          <cell r="K22">
            <v>36.056000000000004</v>
          </cell>
          <cell r="L22">
            <v>129.048</v>
          </cell>
          <cell r="M22">
            <v>5040</v>
          </cell>
          <cell r="N22">
            <v>176.4</v>
          </cell>
          <cell r="S22">
            <v>128.5</v>
          </cell>
          <cell r="T22">
            <v>1.925</v>
          </cell>
          <cell r="AA22">
            <v>286773.33333333337</v>
          </cell>
          <cell r="AB22">
            <v>247343</v>
          </cell>
        </row>
        <row r="25">
          <cell r="J25">
            <v>5040</v>
          </cell>
          <cell r="K25">
            <v>176.4</v>
          </cell>
          <cell r="L25">
            <v>330.24</v>
          </cell>
          <cell r="M25">
            <v>117</v>
          </cell>
          <cell r="N25">
            <v>12.284999999999998</v>
          </cell>
          <cell r="O25">
            <v>2950</v>
          </cell>
          <cell r="P25">
            <v>309.75</v>
          </cell>
          <cell r="Q25">
            <v>1620</v>
          </cell>
          <cell r="R25">
            <v>170.1</v>
          </cell>
          <cell r="S25">
            <v>50.400000000000006</v>
          </cell>
          <cell r="T25">
            <v>2.8390000000000004</v>
          </cell>
          <cell r="AA25">
            <v>396446.57863145252</v>
          </cell>
          <cell r="AB25">
            <v>391951.49</v>
          </cell>
        </row>
        <row r="28">
          <cell r="J28">
            <v>76</v>
          </cell>
          <cell r="K28">
            <v>11.445</v>
          </cell>
          <cell r="L28">
            <v>7.5069999999999979</v>
          </cell>
          <cell r="O28">
            <v>76</v>
          </cell>
          <cell r="P28">
            <v>18.951999999999998</v>
          </cell>
        </row>
      </sheetData>
      <sheetData sheetId="1">
        <row r="7">
          <cell r="J7">
            <v>0</v>
          </cell>
          <cell r="K7">
            <v>0</v>
          </cell>
          <cell r="U7">
            <v>0</v>
          </cell>
          <cell r="V7">
            <v>0</v>
          </cell>
          <cell r="AD7">
            <v>828</v>
          </cell>
        </row>
        <row r="10">
          <cell r="H10">
            <v>0</v>
          </cell>
          <cell r="I10">
            <v>0</v>
          </cell>
          <cell r="M10">
            <v>0</v>
          </cell>
          <cell r="N10">
            <v>0</v>
          </cell>
          <cell r="AC10">
            <v>0</v>
          </cell>
          <cell r="AD10">
            <v>552</v>
          </cell>
        </row>
        <row r="13">
          <cell r="J13">
            <v>97</v>
          </cell>
          <cell r="K13">
            <v>12.902999999999999</v>
          </cell>
          <cell r="M13">
            <v>138</v>
          </cell>
          <cell r="N13">
            <v>20.7</v>
          </cell>
          <cell r="U13">
            <v>5</v>
          </cell>
          <cell r="V13">
            <v>0.78</v>
          </cell>
          <cell r="AD13">
            <v>81875</v>
          </cell>
        </row>
        <row r="16">
          <cell r="J16">
            <v>104</v>
          </cell>
          <cell r="K16">
            <v>15.18</v>
          </cell>
          <cell r="M16">
            <v>97</v>
          </cell>
          <cell r="N16">
            <v>12.902999999999999</v>
          </cell>
          <cell r="W16">
            <v>0</v>
          </cell>
          <cell r="X16">
            <v>0</v>
          </cell>
          <cell r="AD16">
            <v>21758.5</v>
          </cell>
        </row>
        <row r="19">
          <cell r="H19">
            <v>404</v>
          </cell>
          <cell r="I19">
            <v>44.527999999999999</v>
          </cell>
          <cell r="J19">
            <v>0</v>
          </cell>
          <cell r="K19">
            <v>0</v>
          </cell>
          <cell r="L19">
            <v>13.269000000000002</v>
          </cell>
          <cell r="M19">
            <v>104</v>
          </cell>
          <cell r="N19">
            <v>15.18</v>
          </cell>
          <cell r="Q19">
            <v>55</v>
          </cell>
          <cell r="R19">
            <v>6.5519999999999996</v>
          </cell>
          <cell r="AC19">
            <v>26626</v>
          </cell>
          <cell r="AD19">
            <v>44917</v>
          </cell>
        </row>
        <row r="25">
          <cell r="D25">
            <v>8543</v>
          </cell>
          <cell r="E25">
            <v>11.874599999999999</v>
          </cell>
          <cell r="L25">
            <v>51.826560000000001</v>
          </cell>
          <cell r="M25">
            <v>7092</v>
          </cell>
          <cell r="N25">
            <v>60.573999999999998</v>
          </cell>
          <cell r="U25">
            <v>1039.1000000000001</v>
          </cell>
          <cell r="V25">
            <v>2.5703</v>
          </cell>
          <cell r="AC25">
            <v>233631.20338983051</v>
          </cell>
          <cell r="AD25">
            <v>245950.15000000002</v>
          </cell>
        </row>
        <row r="28">
          <cell r="J28">
            <v>7092</v>
          </cell>
          <cell r="K28">
            <v>60.573999999999998</v>
          </cell>
          <cell r="L28">
            <v>205.20840000000001</v>
          </cell>
          <cell r="M28">
            <v>0</v>
          </cell>
          <cell r="N28">
            <v>0</v>
          </cell>
          <cell r="O28">
            <v>6522</v>
          </cell>
          <cell r="P28">
            <v>255.16899999999998</v>
          </cell>
          <cell r="U28">
            <v>143.80000000000001</v>
          </cell>
          <cell r="V28">
            <v>2.3362000000000003</v>
          </cell>
          <cell r="W28">
            <v>199.8</v>
          </cell>
          <cell r="X28">
            <v>5.7240000000000011</v>
          </cell>
          <cell r="AC28">
            <v>417090.24390243902</v>
          </cell>
          <cell r="AD28">
            <v>406058.6</v>
          </cell>
        </row>
        <row r="31">
          <cell r="J31">
            <v>138</v>
          </cell>
          <cell r="K31">
            <v>20.7</v>
          </cell>
          <cell r="L31">
            <v>8.9930000000000021</v>
          </cell>
          <cell r="Q31">
            <v>138</v>
          </cell>
          <cell r="R31">
            <v>29.693000000000005</v>
          </cell>
        </row>
        <row r="43">
          <cell r="H43">
            <v>6522</v>
          </cell>
          <cell r="I43">
            <v>255.16899999999998</v>
          </cell>
          <cell r="L43">
            <v>359.79028</v>
          </cell>
          <cell r="Q43">
            <v>4543</v>
          </cell>
          <cell r="R43">
            <v>480.642</v>
          </cell>
          <cell r="S43">
            <v>900</v>
          </cell>
          <cell r="T43">
            <v>94.5</v>
          </cell>
          <cell r="U43">
            <v>67.28</v>
          </cell>
          <cell r="V43">
            <v>3.5361600000000002</v>
          </cell>
          <cell r="W43">
            <v>61.28</v>
          </cell>
          <cell r="X43">
            <v>2.2289600000000003</v>
          </cell>
          <cell r="AC43">
            <v>440008.68292682921</v>
          </cell>
          <cell r="AD43">
            <v>529187.91999999993</v>
          </cell>
        </row>
      </sheetData>
      <sheetData sheetId="2">
        <row r="7">
          <cell r="J7">
            <v>0</v>
          </cell>
          <cell r="K7">
            <v>0</v>
          </cell>
          <cell r="M7">
            <v>2</v>
          </cell>
          <cell r="N7">
            <v>0.9</v>
          </cell>
          <cell r="AB7">
            <v>4650</v>
          </cell>
        </row>
        <row r="10">
          <cell r="J10">
            <v>12</v>
          </cell>
          <cell r="K10">
            <v>5.04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AB10">
            <v>372</v>
          </cell>
        </row>
        <row r="13">
          <cell r="L13">
            <v>3.3000000000000002E-2</v>
          </cell>
          <cell r="M13">
            <v>12</v>
          </cell>
          <cell r="N13">
            <v>5.04</v>
          </cell>
          <cell r="O13">
            <v>0</v>
          </cell>
          <cell r="P13">
            <v>0</v>
          </cell>
          <cell r="AA13">
            <v>325.5</v>
          </cell>
          <cell r="AB13">
            <v>325.5</v>
          </cell>
        </row>
        <row r="16">
          <cell r="L16">
            <v>0</v>
          </cell>
          <cell r="O16">
            <v>0</v>
          </cell>
          <cell r="P16">
            <v>0</v>
          </cell>
          <cell r="AA16">
            <v>0</v>
          </cell>
          <cell r="AB16">
            <v>0</v>
          </cell>
        </row>
        <row r="19">
          <cell r="L19">
            <v>1.016</v>
          </cell>
          <cell r="O19">
            <v>0</v>
          </cell>
          <cell r="P19">
            <v>0</v>
          </cell>
          <cell r="AA19">
            <v>1364</v>
          </cell>
          <cell r="AB19">
            <v>1364</v>
          </cell>
        </row>
        <row r="22">
          <cell r="L22">
            <v>0.84499999999999997</v>
          </cell>
          <cell r="O22">
            <v>5</v>
          </cell>
          <cell r="P22">
            <v>1.9</v>
          </cell>
          <cell r="AA22">
            <v>1162.5</v>
          </cell>
          <cell r="AB22">
            <v>1162.5</v>
          </cell>
        </row>
        <row r="25">
          <cell r="L25">
            <v>0.98</v>
          </cell>
          <cell r="S25">
            <v>1</v>
          </cell>
          <cell r="T25">
            <v>0.03</v>
          </cell>
          <cell r="AA25">
            <v>1674</v>
          </cell>
          <cell r="AB25">
            <v>1674</v>
          </cell>
        </row>
        <row r="28">
          <cell r="L28">
            <v>1.097</v>
          </cell>
          <cell r="S28">
            <v>0</v>
          </cell>
          <cell r="T28">
            <v>0</v>
          </cell>
          <cell r="AA28">
            <v>1736</v>
          </cell>
          <cell r="AB28">
            <v>1736</v>
          </cell>
        </row>
        <row r="31">
          <cell r="L31">
            <v>0</v>
          </cell>
          <cell r="O31">
            <v>0</v>
          </cell>
          <cell r="P31">
            <v>0</v>
          </cell>
          <cell r="AA31">
            <v>0</v>
          </cell>
          <cell r="AB31">
            <v>0</v>
          </cell>
        </row>
        <row r="34">
          <cell r="J34">
            <v>2</v>
          </cell>
          <cell r="K34">
            <v>0.9</v>
          </cell>
          <cell r="L34">
            <v>9.9999999999999978E-2</v>
          </cell>
          <cell r="O34">
            <v>2</v>
          </cell>
          <cell r="P34">
            <v>1</v>
          </cell>
        </row>
        <row r="37">
          <cell r="L37">
            <v>4.0709999999999997</v>
          </cell>
        </row>
      </sheetData>
      <sheetData sheetId="3">
        <row r="9">
          <cell r="E9">
            <v>28567.602455214444</v>
          </cell>
        </row>
        <row r="11">
          <cell r="E11">
            <v>4512.0602839245639</v>
          </cell>
        </row>
        <row r="13">
          <cell r="E13">
            <v>28634.041856954671</v>
          </cell>
        </row>
        <row r="15">
          <cell r="E15">
            <v>7818.9004172695359</v>
          </cell>
        </row>
        <row r="17">
          <cell r="E17">
            <v>4390.0186561308628</v>
          </cell>
        </row>
        <row r="21">
          <cell r="E21">
            <v>2818.775182713217</v>
          </cell>
        </row>
        <row r="23">
          <cell r="E23">
            <v>2991.7659603036691</v>
          </cell>
        </row>
        <row r="25">
          <cell r="E25">
            <v>1160.0794189377166</v>
          </cell>
        </row>
        <row r="27">
          <cell r="E27">
            <v>1753.0609477806618</v>
          </cell>
        </row>
        <row r="29">
          <cell r="E29">
            <v>2997.7150162514499</v>
          </cell>
        </row>
        <row r="31">
          <cell r="E31">
            <v>51542.370007477766</v>
          </cell>
        </row>
        <row r="33">
          <cell r="E33">
            <v>10527.881469737616</v>
          </cell>
        </row>
        <row r="45">
          <cell r="E45">
            <v>1992.2676156050682</v>
          </cell>
        </row>
        <row r="47">
          <cell r="E47">
            <v>9.99</v>
          </cell>
        </row>
        <row r="51">
          <cell r="E51">
            <v>24225.946121032939</v>
          </cell>
        </row>
        <row r="68">
          <cell r="D68">
            <v>104.44499999999999</v>
          </cell>
          <cell r="E68">
            <v>28495.73</v>
          </cell>
        </row>
        <row r="70">
          <cell r="D70">
            <v>18.204499999999999</v>
          </cell>
          <cell r="E70">
            <v>4521.9865</v>
          </cell>
        </row>
        <row r="72">
          <cell r="D72">
            <v>103.523</v>
          </cell>
          <cell r="E72">
            <v>29824.205000000002</v>
          </cell>
        </row>
        <row r="74">
          <cell r="D74">
            <v>30.607250000000001</v>
          </cell>
          <cell r="E74">
            <v>8929.4307499999995</v>
          </cell>
        </row>
        <row r="76">
          <cell r="D76">
            <v>22.886500000000002</v>
          </cell>
          <cell r="E76">
            <v>3029.23</v>
          </cell>
        </row>
        <row r="80">
          <cell r="D80">
            <v>9.0217500000000008</v>
          </cell>
          <cell r="E80">
            <v>2955.3629999999998</v>
          </cell>
        </row>
        <row r="82">
          <cell r="D82">
            <v>14.8805</v>
          </cell>
          <cell r="E82">
            <v>3047.2170000000001</v>
          </cell>
        </row>
        <row r="84">
          <cell r="D84">
            <v>7.0049999999999999</v>
          </cell>
          <cell r="E84">
            <v>1092.78</v>
          </cell>
        </row>
        <row r="86">
          <cell r="D86">
            <v>10.984500000000001</v>
          </cell>
          <cell r="E86">
            <v>1706.211</v>
          </cell>
        </row>
        <row r="88">
          <cell r="D88">
            <v>10.3695</v>
          </cell>
          <cell r="E88">
            <v>3059.7109999999998</v>
          </cell>
        </row>
        <row r="90">
          <cell r="D90">
            <v>372.17894619377893</v>
          </cell>
          <cell r="E90">
            <v>54710.305090485504</v>
          </cell>
        </row>
        <row r="92">
          <cell r="D92">
            <v>36.049999999999997</v>
          </cell>
          <cell r="E92">
            <v>7891.5016152874996</v>
          </cell>
        </row>
        <row r="94">
          <cell r="D94">
            <v>3.5468853749645852</v>
          </cell>
          <cell r="E94">
            <v>283.75082999716676</v>
          </cell>
        </row>
        <row r="96">
          <cell r="D96">
            <v>1.1374555204959569</v>
          </cell>
          <cell r="E96">
            <v>170.61832807439356</v>
          </cell>
        </row>
        <row r="98">
          <cell r="D98">
            <v>29.750332098263591</v>
          </cell>
          <cell r="E98">
            <v>1646.2672750460811</v>
          </cell>
        </row>
        <row r="100">
          <cell r="D100">
            <v>27.296317888053423</v>
          </cell>
          <cell r="E100">
            <v>2123.5783902814128</v>
          </cell>
        </row>
        <row r="102">
          <cell r="D102">
            <v>2.8281000571787809</v>
          </cell>
          <cell r="E102">
            <v>1000.4322418459138</v>
          </cell>
        </row>
        <row r="104">
          <cell r="D104">
            <v>74.400000000000006</v>
          </cell>
          <cell r="E104">
            <v>1845.1200000000003</v>
          </cell>
        </row>
        <row r="106">
          <cell r="D106">
            <v>0.33300000000000002</v>
          </cell>
          <cell r="E106">
            <v>9.99</v>
          </cell>
        </row>
        <row r="108">
          <cell r="D108">
            <v>0</v>
          </cell>
          <cell r="E108">
            <v>0</v>
          </cell>
        </row>
        <row r="110">
          <cell r="D110">
            <v>264.60000000000002</v>
          </cell>
          <cell r="E110">
            <v>24480.792000000001</v>
          </cell>
        </row>
        <row r="112">
          <cell r="D112">
            <v>5.167792134283733</v>
          </cell>
          <cell r="E112">
            <v>162.78545222993759</v>
          </cell>
        </row>
        <row r="114">
          <cell r="D114">
            <v>3.2845603595772928</v>
          </cell>
          <cell r="E114">
            <v>39.414724314927518</v>
          </cell>
        </row>
        <row r="117">
          <cell r="E117">
            <v>2749.2707034070695</v>
          </cell>
        </row>
        <row r="118">
          <cell r="E118">
            <v>108</v>
          </cell>
        </row>
      </sheetData>
      <sheetData sheetId="4">
        <row r="6">
          <cell r="K6">
            <v>0.26774999999999999</v>
          </cell>
          <cell r="AM6">
            <v>576</v>
          </cell>
        </row>
        <row r="7">
          <cell r="K7">
            <v>4.2500000000000003E-2</v>
          </cell>
          <cell r="N7">
            <v>1631.1000000000001</v>
          </cell>
          <cell r="O7">
            <v>305</v>
          </cell>
          <cell r="P7">
            <v>255</v>
          </cell>
          <cell r="AM7">
            <v>90</v>
          </cell>
        </row>
        <row r="10">
          <cell r="K10">
            <v>2.25</v>
          </cell>
          <cell r="V10">
            <v>292</v>
          </cell>
          <cell r="W10">
            <v>110</v>
          </cell>
          <cell r="X10">
            <v>65</v>
          </cell>
          <cell r="AB10">
            <v>7.55</v>
          </cell>
        </row>
        <row r="12">
          <cell r="J12">
            <v>310.8</v>
          </cell>
        </row>
        <row r="13">
          <cell r="J13">
            <v>14</v>
          </cell>
          <cell r="K13">
            <v>4.0740000000000007</v>
          </cell>
          <cell r="L13">
            <v>1.0080000000000002</v>
          </cell>
          <cell r="R13">
            <v>4.4800000000000006E-2</v>
          </cell>
          <cell r="Z13">
            <v>0.12600000000000003</v>
          </cell>
          <cell r="AH13">
            <v>1.008</v>
          </cell>
          <cell r="AI13">
            <v>1.5</v>
          </cell>
        </row>
        <row r="15">
          <cell r="I15">
            <v>1996.5</v>
          </cell>
          <cell r="J15">
            <v>621.50000000000011</v>
          </cell>
        </row>
        <row r="16">
          <cell r="I16">
            <v>60.5</v>
          </cell>
          <cell r="J16">
            <v>18.833333333333336</v>
          </cell>
          <cell r="K16">
            <v>1.0249999999999999</v>
          </cell>
          <cell r="L16">
            <v>0.5</v>
          </cell>
        </row>
        <row r="18">
          <cell r="I18">
            <v>3.5279999999999996</v>
          </cell>
          <cell r="J18">
            <v>151.19999999999999</v>
          </cell>
        </row>
        <row r="19">
          <cell r="I19">
            <v>0.10499999999999998</v>
          </cell>
          <cell r="J19">
            <v>4.5</v>
          </cell>
          <cell r="K19">
            <v>0.5</v>
          </cell>
          <cell r="L19">
            <v>0.82499999999999996</v>
          </cell>
          <cell r="N19">
            <v>7.4999999999999997E-2</v>
          </cell>
          <cell r="R19">
            <v>1.7500000000000002E-2</v>
          </cell>
          <cell r="Z19">
            <v>7.4999999999999997E-2</v>
          </cell>
          <cell r="AF19">
            <v>0.01</v>
          </cell>
          <cell r="AH19">
            <v>6</v>
          </cell>
          <cell r="AI19">
            <v>0.89999999999999991</v>
          </cell>
        </row>
        <row r="21">
          <cell r="I21">
            <v>89.373040000000003</v>
          </cell>
          <cell r="J21">
            <v>50.366600000000005</v>
          </cell>
          <cell r="K21">
            <v>6.9510989333333342</v>
          </cell>
          <cell r="L21">
            <v>3.0686485333333335</v>
          </cell>
          <cell r="N21">
            <v>0.5</v>
          </cell>
          <cell r="V21">
            <v>0.30000000000000004</v>
          </cell>
          <cell r="Z21">
            <v>0</v>
          </cell>
          <cell r="AF21">
            <v>2.5</v>
          </cell>
          <cell r="AH21">
            <v>10.437715200000001</v>
          </cell>
          <cell r="AI21">
            <v>3.1343999999999999</v>
          </cell>
        </row>
        <row r="22">
          <cell r="B22">
            <v>59</v>
          </cell>
          <cell r="I22">
            <v>16.899999999999999</v>
          </cell>
          <cell r="J22">
            <v>31.25</v>
          </cell>
          <cell r="K22">
            <v>2.75</v>
          </cell>
          <cell r="L22">
            <v>1.4</v>
          </cell>
          <cell r="N22">
            <v>23</v>
          </cell>
          <cell r="R22">
            <v>54</v>
          </cell>
          <cell r="S22">
            <v>3.75</v>
          </cell>
          <cell r="Z22">
            <v>18</v>
          </cell>
          <cell r="AA22">
            <v>78.25</v>
          </cell>
          <cell r="AB22">
            <v>14.9</v>
          </cell>
          <cell r="AD22">
            <v>19.333333333333332</v>
          </cell>
          <cell r="AE22">
            <v>685.30250000000001</v>
          </cell>
          <cell r="AF22">
            <v>368.08625000000001</v>
          </cell>
          <cell r="AH22">
            <v>1.5</v>
          </cell>
          <cell r="AI22">
            <v>12.5</v>
          </cell>
          <cell r="AJ22">
            <v>152.32499999999999</v>
          </cell>
          <cell r="AL22">
            <v>952</v>
          </cell>
          <cell r="AM22">
            <v>2247.1837500000001</v>
          </cell>
        </row>
        <row r="23">
          <cell r="B23">
            <v>8.5207200000000007</v>
          </cell>
          <cell r="I23">
            <v>340.06310999999999</v>
          </cell>
          <cell r="J23">
            <v>786.04497000000003</v>
          </cell>
          <cell r="K23">
            <v>84.521969999999996</v>
          </cell>
          <cell r="L23">
            <v>3.8067600000000001</v>
          </cell>
          <cell r="N23">
            <v>18.106079999999999</v>
          </cell>
          <cell r="O23">
            <v>12.57441</v>
          </cell>
          <cell r="P23">
            <v>37.613160000000001</v>
          </cell>
          <cell r="R23">
            <v>108.70547999999999</v>
          </cell>
          <cell r="S23">
            <v>28.131360000000001</v>
          </cell>
          <cell r="T23">
            <v>28.704360000000001</v>
          </cell>
          <cell r="V23">
            <v>675.05066999999997</v>
          </cell>
          <cell r="W23">
            <v>125.50548000000001</v>
          </cell>
          <cell r="Z23">
            <v>44.647019999999998</v>
          </cell>
          <cell r="AD23">
            <v>0</v>
          </cell>
          <cell r="AE23">
            <v>3051.7447099999999</v>
          </cell>
          <cell r="AF23">
            <v>900.88695000000007</v>
          </cell>
          <cell r="AH23">
            <v>138.17604</v>
          </cell>
          <cell r="AI23">
            <v>17.571000000000002</v>
          </cell>
          <cell r="AJ23">
            <v>109.18442999999999</v>
          </cell>
          <cell r="AL23">
            <v>22.193519999999999</v>
          </cell>
          <cell r="AM23">
            <v>120.19700999999999</v>
          </cell>
        </row>
        <row r="24">
          <cell r="B24">
            <v>1350</v>
          </cell>
          <cell r="I24">
            <v>1050</v>
          </cell>
          <cell r="J24">
            <v>1500</v>
          </cell>
          <cell r="K24">
            <v>120</v>
          </cell>
          <cell r="L24">
            <v>105</v>
          </cell>
          <cell r="N24">
            <v>405</v>
          </cell>
          <cell r="O24">
            <v>221.10000000000002</v>
          </cell>
          <cell r="R24">
            <v>216</v>
          </cell>
          <cell r="V24">
            <v>66</v>
          </cell>
          <cell r="Z24">
            <v>219</v>
          </cell>
          <cell r="AA24">
            <v>195</v>
          </cell>
          <cell r="AB24">
            <v>189</v>
          </cell>
          <cell r="AD24">
            <v>120</v>
          </cell>
          <cell r="AE24">
            <v>750</v>
          </cell>
          <cell r="AF24">
            <v>600</v>
          </cell>
          <cell r="AH24">
            <v>340</v>
          </cell>
          <cell r="AI24">
            <v>1580</v>
          </cell>
          <cell r="AJ24">
            <v>3900</v>
          </cell>
          <cell r="AL24">
            <v>264</v>
          </cell>
          <cell r="AM24">
            <v>4950</v>
          </cell>
        </row>
        <row r="27">
          <cell r="B27">
            <v>194.125</v>
          </cell>
          <cell r="I27">
            <v>20</v>
          </cell>
          <cell r="J27">
            <v>227.5</v>
          </cell>
          <cell r="N27">
            <v>120</v>
          </cell>
          <cell r="S27">
            <v>2.5</v>
          </cell>
          <cell r="V27">
            <v>50</v>
          </cell>
          <cell r="Z27">
            <v>37.5</v>
          </cell>
          <cell r="AA27">
            <v>10</v>
          </cell>
          <cell r="AB27">
            <v>35.799999999999997</v>
          </cell>
          <cell r="AD27">
            <v>0</v>
          </cell>
          <cell r="AE27">
            <v>167.5</v>
          </cell>
          <cell r="AF27">
            <v>0</v>
          </cell>
          <cell r="AH27">
            <v>30</v>
          </cell>
          <cell r="AJ27">
            <v>83.6</v>
          </cell>
          <cell r="AL27">
            <v>103</v>
          </cell>
          <cell r="AM27">
            <v>62.5</v>
          </cell>
        </row>
        <row r="28">
          <cell r="I28">
            <v>477.5</v>
          </cell>
          <cell r="J28">
            <v>412.5</v>
          </cell>
          <cell r="K28">
            <v>87.5</v>
          </cell>
          <cell r="L28">
            <v>25</v>
          </cell>
          <cell r="AH28">
            <v>75</v>
          </cell>
          <cell r="AI28">
            <v>13.5</v>
          </cell>
        </row>
        <row r="29">
          <cell r="I29">
            <v>40</v>
          </cell>
          <cell r="J29">
            <v>500</v>
          </cell>
          <cell r="AH29">
            <v>75</v>
          </cell>
          <cell r="AI29">
            <v>0</v>
          </cell>
          <cell r="AJ29">
            <v>84.8</v>
          </cell>
          <cell r="AM29">
            <v>150</v>
          </cell>
        </row>
        <row r="31">
          <cell r="J31">
            <v>162.5</v>
          </cell>
          <cell r="K31">
            <v>28.25</v>
          </cell>
          <cell r="L31">
            <v>6.25</v>
          </cell>
          <cell r="N31">
            <v>390</v>
          </cell>
          <cell r="O31">
            <v>50</v>
          </cell>
          <cell r="P31">
            <v>50</v>
          </cell>
          <cell r="R31">
            <v>130.00000000000003</v>
          </cell>
          <cell r="S31">
            <v>92.5</v>
          </cell>
          <cell r="T31">
            <v>92.5</v>
          </cell>
          <cell r="V31">
            <v>294.25</v>
          </cell>
          <cell r="W31">
            <v>44.25</v>
          </cell>
          <cell r="X31">
            <v>51.5</v>
          </cell>
          <cell r="Z31">
            <v>175</v>
          </cell>
          <cell r="AB31">
            <v>189.2</v>
          </cell>
          <cell r="AE31">
            <v>282.5</v>
          </cell>
          <cell r="AF31">
            <v>1315</v>
          </cell>
          <cell r="AH31">
            <v>30</v>
          </cell>
          <cell r="AI31">
            <v>311.10000000000002</v>
          </cell>
          <cell r="AJ31">
            <v>362.25</v>
          </cell>
          <cell r="AL31">
            <v>22</v>
          </cell>
          <cell r="AM31">
            <v>1350</v>
          </cell>
        </row>
        <row r="33">
          <cell r="AF33">
            <v>9.2676200000000009</v>
          </cell>
          <cell r="AJ33">
            <v>0</v>
          </cell>
          <cell r="AM33">
            <v>1008</v>
          </cell>
        </row>
        <row r="34">
          <cell r="AJ34">
            <v>13.5</v>
          </cell>
        </row>
        <row r="35">
          <cell r="J35">
            <v>0</v>
          </cell>
          <cell r="AJ35">
            <v>111</v>
          </cell>
        </row>
        <row r="36">
          <cell r="AJ36">
            <v>0</v>
          </cell>
          <cell r="AM36">
            <v>222</v>
          </cell>
        </row>
        <row r="37">
          <cell r="AJ37">
            <v>21.299999999999997</v>
          </cell>
        </row>
        <row r="38">
          <cell r="AM38">
            <v>977</v>
          </cell>
        </row>
        <row r="40">
          <cell r="B40">
            <v>15</v>
          </cell>
          <cell r="R40">
            <v>10</v>
          </cell>
        </row>
        <row r="55">
          <cell r="R55">
            <v>18695</v>
          </cell>
          <cell r="S55">
            <v>8070</v>
          </cell>
          <cell r="T55">
            <v>7500</v>
          </cell>
        </row>
        <row r="59">
          <cell r="B59">
            <v>1.5005508422731344</v>
          </cell>
          <cell r="I59">
            <v>4.0471085763056386E-2</v>
          </cell>
          <cell r="J59">
            <v>2.2427999999999999</v>
          </cell>
          <cell r="N59">
            <v>18.658331659982736</v>
          </cell>
          <cell r="R59">
            <v>0.46185151609949343</v>
          </cell>
          <cell r="V59">
            <v>1.394245480245774</v>
          </cell>
          <cell r="Z59">
            <v>0</v>
          </cell>
          <cell r="AE59">
            <v>14.202072463002111</v>
          </cell>
          <cell r="AK59">
            <v>7.7471425341815738</v>
          </cell>
        </row>
        <row r="60">
          <cell r="B60">
            <v>0</v>
          </cell>
          <cell r="I60">
            <v>0</v>
          </cell>
          <cell r="J60">
            <v>130.88165999999998</v>
          </cell>
          <cell r="N60">
            <v>281.98796371579095</v>
          </cell>
          <cell r="R60">
            <v>31.149760902682345</v>
          </cell>
          <cell r="V60">
            <v>94.802535256088817</v>
          </cell>
          <cell r="Z60">
            <v>0</v>
          </cell>
          <cell r="AE60">
            <v>412.88943197701315</v>
          </cell>
          <cell r="AK60">
            <v>219.97284483314061</v>
          </cell>
        </row>
        <row r="61">
          <cell r="B61">
            <v>88.832609862569555</v>
          </cell>
          <cell r="I61">
            <v>2.3958882771729382</v>
          </cell>
          <cell r="J61">
            <v>15.126383999999998</v>
          </cell>
          <cell r="N61">
            <v>104.48297239990856</v>
          </cell>
          <cell r="R61">
            <v>3.6061745794324422</v>
          </cell>
          <cell r="V61">
            <v>11.074201779342079</v>
          </cell>
          <cell r="Z61">
            <v>0</v>
          </cell>
          <cell r="AE61">
            <v>99.121208263293738</v>
          </cell>
          <cell r="AK61">
            <v>53.200730766203229</v>
          </cell>
        </row>
        <row r="62">
          <cell r="B62">
            <v>120.51090542166904</v>
          </cell>
          <cell r="I62">
            <v>3.250277865504128</v>
          </cell>
          <cell r="J62">
            <v>4.4307370800000001</v>
          </cell>
          <cell r="N62">
            <v>810.0414566054402</v>
          </cell>
          <cell r="R62">
            <v>83.028111712681238</v>
          </cell>
          <cell r="V62">
            <v>251.43801997598217</v>
          </cell>
          <cell r="Z62">
            <v>9.4441853132783269</v>
          </cell>
          <cell r="AE62">
            <v>1003.0191298979148</v>
          </cell>
          <cell r="AK62">
            <v>532.34401793413667</v>
          </cell>
        </row>
        <row r="64">
          <cell r="B64">
            <v>68.85861087320049</v>
          </cell>
          <cell r="I64">
            <v>1.857173157793587</v>
          </cell>
          <cell r="J64">
            <v>41.609198400000004</v>
          </cell>
          <cell r="N64">
            <v>162.69623019985573</v>
          </cell>
          <cell r="R64">
            <v>11.739322898597834</v>
          </cell>
          <cell r="V64">
            <v>36.281819209892475</v>
          </cell>
          <cell r="Z64">
            <v>1.2634501193026821</v>
          </cell>
          <cell r="AE64">
            <v>646.13302996818459</v>
          </cell>
          <cell r="AK64">
            <v>375.18717133465401</v>
          </cell>
        </row>
        <row r="65">
          <cell r="B65">
            <v>53.753065727650949</v>
          </cell>
          <cell r="I65">
            <v>1.4497642277788199</v>
          </cell>
          <cell r="J65">
            <v>195.30203279999998</v>
          </cell>
          <cell r="N65">
            <v>1364.6249649790784</v>
          </cell>
          <cell r="R65">
            <v>128.61643957949181</v>
          </cell>
          <cell r="V65">
            <v>395.26543171540629</v>
          </cell>
          <cell r="Z65">
            <v>73.762981177559894</v>
          </cell>
          <cell r="AE65">
            <v>1406.6484681665133</v>
          </cell>
          <cell r="AK65">
            <v>744.33806927049136</v>
          </cell>
        </row>
        <row r="66">
          <cell r="B66">
            <v>0</v>
          </cell>
          <cell r="I66">
            <v>0</v>
          </cell>
          <cell r="J66">
            <v>826.71976076760006</v>
          </cell>
          <cell r="N66">
            <v>690.12522043750209</v>
          </cell>
          <cell r="R66">
            <v>276.67124488375464</v>
          </cell>
          <cell r="V66">
            <v>626.00691563468365</v>
          </cell>
          <cell r="Z66">
            <v>326.91981437209409</v>
          </cell>
          <cell r="AE66">
            <v>1733.9581850051477</v>
          </cell>
          <cell r="AK66">
            <v>923.02564157332961</v>
          </cell>
        </row>
        <row r="69">
          <cell r="I69">
            <v>0.62655236477620613</v>
          </cell>
          <cell r="J69">
            <v>2.2952159999999999</v>
          </cell>
          <cell r="O69">
            <v>2.2679794796015766</v>
          </cell>
          <cell r="S69">
            <v>0.13339046250325318</v>
          </cell>
          <cell r="W69">
            <v>0.89311570351494829</v>
          </cell>
          <cell r="AF69">
            <v>9.970474228800617</v>
          </cell>
          <cell r="AK69">
            <v>5.3096045558428075</v>
          </cell>
        </row>
        <row r="70">
          <cell r="I70">
            <v>11.486793354230446</v>
          </cell>
          <cell r="J70">
            <v>243.12422113119351</v>
          </cell>
          <cell r="O70">
            <v>224.30000721074086</v>
          </cell>
          <cell r="S70">
            <v>13.190029127359731</v>
          </cell>
          <cell r="W70">
            <v>88.313826359041542</v>
          </cell>
          <cell r="AF70">
            <v>521.09891726669605</v>
          </cell>
          <cell r="AK70">
            <v>269.76988789450968</v>
          </cell>
        </row>
        <row r="71">
          <cell r="I71">
            <v>3.5504634003985016</v>
          </cell>
          <cell r="J71">
            <v>63.823617749406338</v>
          </cell>
          <cell r="O71">
            <v>59.622793874622118</v>
          </cell>
          <cell r="S71">
            <v>3.5052854811316849</v>
          </cell>
          <cell r="W71">
            <v>23.469635307886477</v>
          </cell>
          <cell r="AF71">
            <v>220.01161584409647</v>
          </cell>
          <cell r="AK71">
            <v>116.85946278503323</v>
          </cell>
        </row>
        <row r="72">
          <cell r="I72">
            <v>24.748818408660142</v>
          </cell>
          <cell r="J72">
            <v>43.031238872307398</v>
          </cell>
          <cell r="O72">
            <v>675.66032089724308</v>
          </cell>
          <cell r="S72">
            <v>39.622468914546502</v>
          </cell>
          <cell r="W72">
            <v>265.29219957349892</v>
          </cell>
          <cell r="AF72">
            <v>1251.7073179427762</v>
          </cell>
          <cell r="AK72">
            <v>648.52766182679613</v>
          </cell>
        </row>
        <row r="74">
          <cell r="I74">
            <v>6.3699490418914291</v>
          </cell>
          <cell r="J74">
            <v>109.15299672221779</v>
          </cell>
          <cell r="O74">
            <v>124.87105055374826</v>
          </cell>
          <cell r="S74">
            <v>7.3250373666188651</v>
          </cell>
          <cell r="W74">
            <v>49.044780100387904</v>
          </cell>
          <cell r="AF74">
            <v>403.91919568764536</v>
          </cell>
          <cell r="AK74">
            <v>209.35751833548719</v>
          </cell>
        </row>
        <row r="75">
          <cell r="I75">
            <v>57.642817559410972</v>
          </cell>
          <cell r="J75">
            <v>389.4431117110492</v>
          </cell>
          <cell r="O75">
            <v>1110.4354579840442</v>
          </cell>
          <cell r="S75">
            <v>65.415874948579088</v>
          </cell>
          <cell r="W75">
            <v>437.9919229556703</v>
          </cell>
          <cell r="AF75">
            <v>1612.6339202502359</v>
          </cell>
          <cell r="AK75">
            <v>838.59997589100078</v>
          </cell>
        </row>
        <row r="78">
          <cell r="B78">
            <v>325.98173470071538</v>
          </cell>
          <cell r="I78">
            <v>634.54665332199511</v>
          </cell>
          <cell r="J78">
            <v>1488.5202080767376</v>
          </cell>
          <cell r="P78">
            <v>1628.3231600000001</v>
          </cell>
          <cell r="T78">
            <v>126.44733968016001</v>
          </cell>
          <cell r="X78">
            <v>470.25</v>
          </cell>
          <cell r="AK78">
            <v>2452.0232266563316</v>
          </cell>
        </row>
        <row r="79">
          <cell r="J79">
            <v>13.412233419621653</v>
          </cell>
          <cell r="N79">
            <v>33.428518199975343</v>
          </cell>
          <cell r="R79">
            <v>0</v>
          </cell>
          <cell r="AD79">
            <v>309.69803438366773</v>
          </cell>
          <cell r="AK79">
            <v>68.959989069494029</v>
          </cell>
        </row>
        <row r="80">
          <cell r="J80">
            <v>30.232439999999997</v>
          </cell>
          <cell r="N80">
            <v>125.75490179990726</v>
          </cell>
          <cell r="R80">
            <v>0</v>
          </cell>
          <cell r="AD80">
            <v>456.31158308135764</v>
          </cell>
          <cell r="AK80">
            <v>101.32782314465506</v>
          </cell>
        </row>
        <row r="81">
          <cell r="I81">
            <v>258.94082782638191</v>
          </cell>
          <cell r="AK81">
            <v>54.019257401342699</v>
          </cell>
        </row>
        <row r="83">
          <cell r="B83">
            <v>368.52608808317211</v>
          </cell>
          <cell r="I83">
            <v>722.98347035978497</v>
          </cell>
          <cell r="J83">
            <v>278.09266814045293</v>
          </cell>
          <cell r="L83">
            <v>16.187341635466666</v>
          </cell>
          <cell r="N83">
            <v>1400.1804699990039</v>
          </cell>
          <cell r="R83">
            <v>332.86896826671591</v>
          </cell>
          <cell r="V83">
            <v>677.18716822638237</v>
          </cell>
          <cell r="Z83">
            <v>229.90830439361173</v>
          </cell>
          <cell r="AA83">
            <v>101.09789847199028</v>
          </cell>
          <cell r="AB83">
            <v>420.00126325870008</v>
          </cell>
          <cell r="AK83">
            <v>2293.717919989142</v>
          </cell>
        </row>
        <row r="84">
          <cell r="J84">
            <v>20.114408849275666</v>
          </cell>
          <cell r="AK84">
            <v>127.51341355224677</v>
          </cell>
        </row>
        <row r="85">
          <cell r="B85">
            <v>369.96339731906585</v>
          </cell>
          <cell r="I85">
            <v>16.987863159801446</v>
          </cell>
          <cell r="J85">
            <v>46.307003550201614</v>
          </cell>
          <cell r="L85">
            <v>2.8650162186666668E-2</v>
          </cell>
          <cell r="N85">
            <v>2087.3098099984441</v>
          </cell>
          <cell r="R85">
            <v>353.94189460648465</v>
          </cell>
          <cell r="V85">
            <v>596.23068745062733</v>
          </cell>
          <cell r="Z85">
            <v>258.67154501760479</v>
          </cell>
          <cell r="AA85">
            <v>263.80525302872547</v>
          </cell>
          <cell r="AB85">
            <v>387.6934737772616</v>
          </cell>
          <cell r="AK85">
            <v>2906.5824018589437</v>
          </cell>
          <cell r="AM85">
            <v>13007.180864996175</v>
          </cell>
        </row>
        <row r="86">
          <cell r="N86">
            <v>31.962469999977209</v>
          </cell>
          <cell r="R86">
            <v>1.4007981875895894</v>
          </cell>
          <cell r="Z86">
            <v>0.75678872799981911</v>
          </cell>
          <cell r="AA86">
            <v>8.2345567063450069</v>
          </cell>
          <cell r="AK86">
            <v>203.55697546560131</v>
          </cell>
          <cell r="AM86">
            <v>1607.6290956736843</v>
          </cell>
        </row>
        <row r="91">
          <cell r="I91">
            <v>11.25</v>
          </cell>
          <cell r="N91">
            <v>775.2224199994497</v>
          </cell>
          <cell r="R91">
            <v>2.0982495248311355</v>
          </cell>
          <cell r="Z91">
            <v>1.5770822633329562</v>
          </cell>
        </row>
        <row r="98">
          <cell r="B98">
            <v>316.78295559099502</v>
          </cell>
          <cell r="J98">
            <v>0.25</v>
          </cell>
          <cell r="L98">
            <v>4.841877409546667</v>
          </cell>
          <cell r="N98">
            <v>50.819119999962524</v>
          </cell>
          <cell r="R98">
            <v>15.453495841903504</v>
          </cell>
          <cell r="V98">
            <v>0</v>
          </cell>
          <cell r="Z98">
            <v>12.520742275663673</v>
          </cell>
        </row>
        <row r="99">
          <cell r="B99">
            <v>394.9725780236181</v>
          </cell>
          <cell r="I99">
            <v>39.471799694832768</v>
          </cell>
          <cell r="L99">
            <v>30.541072890986666</v>
          </cell>
          <cell r="N99">
            <v>303.3517099997859</v>
          </cell>
          <cell r="R99">
            <v>14.036521150442379</v>
          </cell>
          <cell r="V99">
            <v>76.606651035431241</v>
          </cell>
          <cell r="Z99">
            <v>9.8640782876643112</v>
          </cell>
        </row>
        <row r="102">
          <cell r="J102">
            <v>0</v>
          </cell>
          <cell r="V102">
            <v>76.606651035431241</v>
          </cell>
          <cell r="Z102">
            <v>9.8640782876643112</v>
          </cell>
        </row>
        <row r="103">
          <cell r="I103">
            <v>1.4989291023354214</v>
          </cell>
          <cell r="L103">
            <v>2.3493132993066661</v>
          </cell>
          <cell r="R103">
            <v>1.0491247624155677</v>
          </cell>
          <cell r="V103">
            <v>33.997952867176274</v>
          </cell>
          <cell r="Z103">
            <v>0.75678872799981911</v>
          </cell>
        </row>
        <row r="104">
          <cell r="B104">
            <v>25.75</v>
          </cell>
          <cell r="I104">
            <v>26.25</v>
          </cell>
          <cell r="L104">
            <v>93.829281161333341</v>
          </cell>
          <cell r="N104">
            <v>538.30723999961708</v>
          </cell>
          <cell r="R104">
            <v>2.92</v>
          </cell>
          <cell r="V104">
            <v>33.997952867176274</v>
          </cell>
          <cell r="Z104">
            <v>2.3338709913327751</v>
          </cell>
        </row>
        <row r="105">
          <cell r="I105">
            <v>4.9964303411180717</v>
          </cell>
          <cell r="N105">
            <v>430.74977999969349</v>
          </cell>
        </row>
        <row r="106">
          <cell r="B106">
            <v>25.5</v>
          </cell>
          <cell r="I106">
            <v>43.75</v>
          </cell>
          <cell r="N106">
            <v>307.95302999977383</v>
          </cell>
        </row>
        <row r="107">
          <cell r="B107">
            <v>29.896032106591178</v>
          </cell>
          <cell r="N107">
            <v>0</v>
          </cell>
        </row>
        <row r="108">
          <cell r="B108">
            <v>79.91439351569565</v>
          </cell>
          <cell r="I108">
            <v>81.94145759433637</v>
          </cell>
          <cell r="N108">
            <v>10.919689999992146</v>
          </cell>
          <cell r="V108">
            <v>102.2037959259375</v>
          </cell>
          <cell r="Z108">
            <v>0</v>
          </cell>
        </row>
        <row r="110">
          <cell r="B110">
            <v>102.55262526151169</v>
          </cell>
          <cell r="I110">
            <v>479.92174372010038</v>
          </cell>
          <cell r="J110">
            <v>0</v>
          </cell>
          <cell r="K110">
            <v>0</v>
          </cell>
          <cell r="L110">
            <v>6.7619151500799992</v>
          </cell>
        </row>
        <row r="111">
          <cell r="B111">
            <v>0</v>
          </cell>
          <cell r="I111">
            <v>113.41896874338023</v>
          </cell>
          <cell r="J111">
            <v>0</v>
          </cell>
          <cell r="K111">
            <v>0</v>
          </cell>
          <cell r="L111">
            <v>0</v>
          </cell>
          <cell r="V111">
            <v>31.505346997688775</v>
          </cell>
        </row>
        <row r="112">
          <cell r="B112">
            <v>0</v>
          </cell>
          <cell r="I112">
            <v>395.71728301655128</v>
          </cell>
          <cell r="J112">
            <v>233.10156049627875</v>
          </cell>
          <cell r="K112">
            <v>0</v>
          </cell>
          <cell r="L112">
            <v>5.3289301667200002</v>
          </cell>
          <cell r="S112">
            <v>1.9008475407008798</v>
          </cell>
        </row>
        <row r="113">
          <cell r="B113">
            <v>9.7737028040778871</v>
          </cell>
          <cell r="I113">
            <v>90.435389174237102</v>
          </cell>
          <cell r="J113">
            <v>410.43419926092093</v>
          </cell>
          <cell r="K113">
            <v>592.23329226666658</v>
          </cell>
          <cell r="L113">
            <v>32.288181649066665</v>
          </cell>
          <cell r="N113">
            <v>1575.2216499988701</v>
          </cell>
          <cell r="R113">
            <v>12.598679848945313</v>
          </cell>
          <cell r="V113">
            <v>163.96195456077928</v>
          </cell>
          <cell r="Z113">
            <v>9.3455019089977736</v>
          </cell>
          <cell r="AL113">
            <v>655.1</v>
          </cell>
        </row>
        <row r="114">
          <cell r="V114">
            <v>68.285690566284174</v>
          </cell>
          <cell r="Z114">
            <v>7.5836941599981804</v>
          </cell>
          <cell r="AA114">
            <v>1.1593566995304325</v>
          </cell>
        </row>
        <row r="115">
          <cell r="B115">
            <v>177.6514215564745</v>
          </cell>
          <cell r="I115">
            <v>149.89291023354215</v>
          </cell>
          <cell r="J115">
            <v>880.39702284212808</v>
          </cell>
          <cell r="L115">
            <v>2.17686119088</v>
          </cell>
          <cell r="N115">
            <v>126.12980999990893</v>
          </cell>
          <cell r="R115">
            <v>2.0982495248311355</v>
          </cell>
          <cell r="V115">
            <v>68.205843058761218</v>
          </cell>
          <cell r="Z115">
            <v>1.5770822633329562</v>
          </cell>
        </row>
        <row r="116">
          <cell r="AL116">
            <v>1058.2615684967436</v>
          </cell>
        </row>
      </sheetData>
      <sheetData sheetId="5">
        <row r="16">
          <cell r="C16">
            <v>9.4499999999999993</v>
          </cell>
          <cell r="D16">
            <v>288.39999999999998</v>
          </cell>
          <cell r="E16">
            <v>12.25</v>
          </cell>
          <cell r="F16">
            <v>749.875</v>
          </cell>
          <cell r="H16">
            <v>27.3</v>
          </cell>
          <cell r="I16">
            <v>427.875</v>
          </cell>
          <cell r="J16">
            <v>234.85000000000002</v>
          </cell>
        </row>
        <row r="17">
          <cell r="C17">
            <v>0.37345773937879495</v>
          </cell>
          <cell r="D17">
            <v>25.049674970893314</v>
          </cell>
          <cell r="E17">
            <v>2.8827544657608031</v>
          </cell>
          <cell r="F17">
            <v>66.959686978603457</v>
          </cell>
          <cell r="H17">
            <v>9.3420771556898039</v>
          </cell>
          <cell r="I17">
            <v>102.9859473240376</v>
          </cell>
          <cell r="J17">
            <v>163.22640136563621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1.4850000000000001</v>
          </cell>
          <cell r="D19">
            <v>100.57499999999999</v>
          </cell>
          <cell r="E19">
            <v>4.0500000000000007</v>
          </cell>
          <cell r="F19">
            <v>207.09</v>
          </cell>
          <cell r="H19">
            <v>16.875</v>
          </cell>
          <cell r="I19">
            <v>401.22</v>
          </cell>
          <cell r="J19">
            <v>618.70499999999993</v>
          </cell>
        </row>
        <row r="22">
          <cell r="C22">
            <v>5.0355663041205305E-2</v>
          </cell>
          <cell r="D22">
            <v>3.3776057077413997</v>
          </cell>
          <cell r="E22">
            <v>0.38869997111277754</v>
          </cell>
          <cell r="F22">
            <v>9.0285970253227248</v>
          </cell>
          <cell r="H22">
            <v>1.2596511994619768</v>
          </cell>
          <cell r="I22">
            <v>13.886244987330457</v>
          </cell>
          <cell r="J22">
            <v>22.008845445989458</v>
          </cell>
        </row>
        <row r="26">
          <cell r="C26">
            <v>0.92781620975490064</v>
          </cell>
          <cell r="D26">
            <v>66.199638105701538</v>
          </cell>
          <cell r="E26">
            <v>8.114716872000983</v>
          </cell>
          <cell r="F26">
            <v>171.45413992211783</v>
          </cell>
          <cell r="H26">
            <v>1408.7996454800839</v>
          </cell>
          <cell r="I26">
            <v>284.90964871779943</v>
          </cell>
          <cell r="J26">
            <v>452.09439469254056</v>
          </cell>
        </row>
      </sheetData>
      <sheetData sheetId="6">
        <row r="16">
          <cell r="C16">
            <v>6.4399999999999551</v>
          </cell>
          <cell r="D16">
            <v>116.89999999999999</v>
          </cell>
          <cell r="E16">
            <v>110.6</v>
          </cell>
          <cell r="F16">
            <v>847.84</v>
          </cell>
          <cell r="H16">
            <v>26.74</v>
          </cell>
          <cell r="I16">
            <v>291.48</v>
          </cell>
          <cell r="M16">
            <v>450</v>
          </cell>
        </row>
        <row r="17">
          <cell r="C17">
            <v>0</v>
          </cell>
          <cell r="D17">
            <v>23.273249999999997</v>
          </cell>
          <cell r="E17">
            <v>0.10725</v>
          </cell>
          <cell r="F17">
            <v>20.163</v>
          </cell>
          <cell r="H17">
            <v>1.5014999999999998</v>
          </cell>
          <cell r="I17">
            <v>62.204999999999991</v>
          </cell>
          <cell r="M17">
            <v>41.25</v>
          </cell>
        </row>
        <row r="18">
          <cell r="C18">
            <v>0</v>
          </cell>
          <cell r="D18">
            <v>0.70524999999999993</v>
          </cell>
          <cell r="E18">
            <v>3.2499999999999999E-3</v>
          </cell>
          <cell r="F18">
            <v>0.61099999999999999</v>
          </cell>
          <cell r="H18">
            <v>4.5499999999999992E-2</v>
          </cell>
          <cell r="I18">
            <v>1.8849999999999998</v>
          </cell>
          <cell r="M18">
            <v>1.25</v>
          </cell>
        </row>
        <row r="20">
          <cell r="C20">
            <v>0</v>
          </cell>
          <cell r="D20">
            <v>79.187456720555005</v>
          </cell>
          <cell r="E20">
            <v>21.040339199595476</v>
          </cell>
          <cell r="F20">
            <v>237.7105293279011</v>
          </cell>
          <cell r="H20">
            <v>43.916724270502968</v>
          </cell>
          <cell r="I20">
            <v>392.71645048144546</v>
          </cell>
          <cell r="M20">
            <v>801.28250000000003</v>
          </cell>
        </row>
        <row r="21">
          <cell r="C21">
            <v>11.573639999999999</v>
          </cell>
          <cell r="D21">
            <v>361.42597999999998</v>
          </cell>
          <cell r="E21">
            <v>241.46090999999998</v>
          </cell>
          <cell r="F21">
            <v>635.79285000000004</v>
          </cell>
          <cell r="H21">
            <v>583.32213999999999</v>
          </cell>
          <cell r="I21">
            <v>527.14633000000003</v>
          </cell>
          <cell r="M21">
            <v>2927.0668800000003</v>
          </cell>
        </row>
        <row r="22">
          <cell r="C22">
            <v>0.92999999999999994</v>
          </cell>
          <cell r="D22">
            <v>100.44000000000001</v>
          </cell>
          <cell r="E22">
            <v>25.110000000000003</v>
          </cell>
          <cell r="F22">
            <v>242.73</v>
          </cell>
          <cell r="H22">
            <v>39.06</v>
          </cell>
          <cell r="I22">
            <v>521.73</v>
          </cell>
          <cell r="M22">
            <v>810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  <cell r="M25">
            <v>1586.65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  <cell r="M27">
            <v>165.25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H29">
            <v>0</v>
          </cell>
          <cell r="I29">
            <v>0</v>
          </cell>
          <cell r="M29">
            <v>25</v>
          </cell>
        </row>
      </sheetData>
      <sheetData sheetId="7">
        <row r="6">
          <cell r="H6">
            <v>74.400000000000006</v>
          </cell>
        </row>
        <row r="9">
          <cell r="H9">
            <v>498.71249999999998</v>
          </cell>
          <cell r="J9">
            <v>272.90454750000004</v>
          </cell>
        </row>
        <row r="10">
          <cell r="H10">
            <v>34.875</v>
          </cell>
          <cell r="J10">
            <v>15.81775</v>
          </cell>
        </row>
        <row r="15">
          <cell r="H15">
            <v>494.90805000000006</v>
          </cell>
          <cell r="J15">
            <v>83.18829697455368</v>
          </cell>
        </row>
        <row r="16">
          <cell r="H16">
            <v>177.04874999999998</v>
          </cell>
          <cell r="J16">
            <v>104.81150175359994</v>
          </cell>
        </row>
        <row r="17">
          <cell r="H17">
            <v>9.1666666666666661</v>
          </cell>
          <cell r="J17">
            <v>10</v>
          </cell>
        </row>
        <row r="18">
          <cell r="H18">
            <v>31.416666666666668</v>
          </cell>
          <cell r="J18">
            <v>100</v>
          </cell>
        </row>
        <row r="19">
          <cell r="H19">
            <v>102.14734</v>
          </cell>
          <cell r="J19">
            <v>6.0863399999999999</v>
          </cell>
        </row>
        <row r="20">
          <cell r="H20">
            <v>110</v>
          </cell>
          <cell r="J20">
            <v>120</v>
          </cell>
        </row>
        <row r="21">
          <cell r="H21">
            <v>34.496000000000002</v>
          </cell>
          <cell r="J21">
            <v>37.631999999999998</v>
          </cell>
        </row>
        <row r="23">
          <cell r="H23">
            <v>12.5</v>
          </cell>
          <cell r="J23">
            <v>10</v>
          </cell>
        </row>
        <row r="27">
          <cell r="H27">
            <v>30</v>
          </cell>
        </row>
      </sheetData>
      <sheetData sheetId="8">
        <row r="10">
          <cell r="B10">
            <v>55.25</v>
          </cell>
        </row>
        <row r="11">
          <cell r="B11">
            <v>4.25</v>
          </cell>
        </row>
        <row r="19">
          <cell r="B19">
            <v>10.75</v>
          </cell>
        </row>
        <row r="20">
          <cell r="B20">
            <v>13944.164562553033</v>
          </cell>
        </row>
        <row r="21">
          <cell r="B21">
            <v>146.7806796058214</v>
          </cell>
        </row>
        <row r="23">
          <cell r="D23">
            <v>8118.0915458612644</v>
          </cell>
          <cell r="E23">
            <v>430</v>
          </cell>
        </row>
        <row r="24">
          <cell r="D24">
            <v>136.58890468769923</v>
          </cell>
        </row>
        <row r="25">
          <cell r="D25">
            <v>793.38028219649993</v>
          </cell>
          <cell r="E25">
            <v>390</v>
          </cell>
        </row>
        <row r="29">
          <cell r="B29">
            <v>375</v>
          </cell>
          <cell r="C29">
            <v>0</v>
          </cell>
          <cell r="D29">
            <v>1785.75</v>
          </cell>
          <cell r="E29">
            <v>0</v>
          </cell>
          <cell r="F29">
            <v>0</v>
          </cell>
        </row>
        <row r="33">
          <cell r="B33">
            <v>469.37</v>
          </cell>
          <cell r="C33">
            <v>0</v>
          </cell>
          <cell r="D33">
            <v>557</v>
          </cell>
          <cell r="E33">
            <v>15</v>
          </cell>
          <cell r="F33">
            <v>0</v>
          </cell>
        </row>
      </sheetData>
      <sheetData sheetId="9"/>
      <sheetData sheetId="10"/>
      <sheetData sheetId="11">
        <row r="39">
          <cell r="C39">
            <v>0</v>
          </cell>
        </row>
        <row r="44">
          <cell r="C44">
            <v>2125.8301369863011</v>
          </cell>
        </row>
        <row r="45">
          <cell r="C45">
            <v>2514.778756164384</v>
          </cell>
        </row>
        <row r="49">
          <cell r="C49">
            <v>13245</v>
          </cell>
        </row>
        <row r="50">
          <cell r="C50">
            <v>870</v>
          </cell>
        </row>
        <row r="51">
          <cell r="C51">
            <v>750</v>
          </cell>
        </row>
        <row r="54">
          <cell r="C54">
            <v>24</v>
          </cell>
        </row>
        <row r="60">
          <cell r="C60">
            <v>90</v>
          </cell>
        </row>
        <row r="61">
          <cell r="C61">
            <v>25</v>
          </cell>
        </row>
        <row r="64">
          <cell r="C64">
            <v>0</v>
          </cell>
        </row>
      </sheetData>
      <sheetData sheetId="12">
        <row r="83">
          <cell r="D83">
            <v>0</v>
          </cell>
        </row>
      </sheetData>
      <sheetData sheetId="13">
        <row r="25">
          <cell r="O25">
            <v>5.4000000000000008E-26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Ж.В. КРС"/>
      <sheetName val="Ж.В. Ш 1"/>
      <sheetName val="Ж.В. Ш 2-3"/>
      <sheetName val="Ж.В. Ш 4"/>
      <sheetName val="Скот убой "/>
      <sheetName val="себ-ть скота для забоя и реализ"/>
      <sheetName val="мясо на кости свинина"/>
      <sheetName val="по сортам Ш-1"/>
      <sheetName val="по сортам  Ш-4 "/>
      <sheetName val="по сортам Ш-2"/>
      <sheetName val="по сортам Ш-3"/>
      <sheetName val="мясо на кости КРС"/>
      <sheetName val="по сортам КРС"/>
      <sheetName val="фасованное мясо"/>
      <sheetName val="сырье для жиловки "/>
      <sheetName val="Жиловка КРС"/>
      <sheetName val="% для жиловки"/>
      <sheetName val="общая жиловка свинины"/>
      <sheetName val="жил. свинины на кр. кусок в шк"/>
      <sheetName val="жиловка свинины на круп. ку (2"/>
      <sheetName val="Жиловка свин для колб.изд."/>
      <sheetName val="Расход сырья"/>
      <sheetName val="СВОД РАСЧЕТ"/>
      <sheetName val="расчет полуфабрикатов"/>
      <sheetName val="расчет колб.изд."/>
      <sheetName val="ПО ВИДАМ КОЛБАС"/>
      <sheetName val="анализ"/>
      <sheetName val="распределение затрат"/>
      <sheetName val="План реал"/>
      <sheetName val="План реализации -2"/>
    </sheetNames>
    <sheetDataSet>
      <sheetData sheetId="0">
        <row r="15">
          <cell r="D15">
            <v>261.00419066127108</v>
          </cell>
        </row>
      </sheetData>
      <sheetData sheetId="1">
        <row r="16">
          <cell r="D16">
            <v>236.91755838567749</v>
          </cell>
        </row>
      </sheetData>
      <sheetData sheetId="2"/>
      <sheetData sheetId="3">
        <row r="15">
          <cell r="M15">
            <v>1.3888897763888888E-12</v>
          </cell>
        </row>
      </sheetData>
      <sheetData sheetId="4">
        <row r="17">
          <cell r="D17">
            <v>0.80641077884648404</v>
          </cell>
        </row>
        <row r="55">
          <cell r="B55">
            <v>27817.442500000012</v>
          </cell>
          <cell r="C55">
            <v>2939674.6925000018</v>
          </cell>
          <cell r="G55">
            <v>2278860.8670616457</v>
          </cell>
        </row>
        <row r="76">
          <cell r="B76">
            <v>856</v>
          </cell>
        </row>
        <row r="77">
          <cell r="B77">
            <v>944</v>
          </cell>
          <cell r="C77">
            <v>421431.84583614464</v>
          </cell>
          <cell r="G77">
            <v>197288.62113530724</v>
          </cell>
        </row>
      </sheetData>
      <sheetData sheetId="5">
        <row r="15">
          <cell r="O15">
            <v>275080.11165803182</v>
          </cell>
        </row>
      </sheetData>
      <sheetData sheetId="6">
        <row r="32">
          <cell r="E32">
            <v>0.57333080000000558</v>
          </cell>
        </row>
      </sheetData>
      <sheetData sheetId="7"/>
      <sheetData sheetId="8"/>
      <sheetData sheetId="9"/>
      <sheetData sheetId="10"/>
      <sheetData sheetId="11">
        <row r="7">
          <cell r="D7">
            <v>88</v>
          </cell>
        </row>
        <row r="9">
          <cell r="D9">
            <v>9402225.0075643677</v>
          </cell>
        </row>
      </sheetData>
      <sheetData sheetId="12"/>
      <sheetData sheetId="13">
        <row r="11">
          <cell r="F11">
            <v>31573016.485554151</v>
          </cell>
        </row>
        <row r="19">
          <cell r="D19">
            <v>26298760.042449862</v>
          </cell>
        </row>
      </sheetData>
      <sheetData sheetId="14">
        <row r="75">
          <cell r="D75">
            <v>93376030.1170744</v>
          </cell>
        </row>
        <row r="78">
          <cell r="D78">
            <v>20942200.239133682</v>
          </cell>
        </row>
        <row r="99">
          <cell r="D99">
            <v>46914880.510129943</v>
          </cell>
        </row>
      </sheetData>
      <sheetData sheetId="15">
        <row r="9">
          <cell r="C9">
            <v>194667.17752632406</v>
          </cell>
        </row>
        <row r="19">
          <cell r="B19">
            <v>0.73705095645030538</v>
          </cell>
          <cell r="C19">
            <v>143479.62938525854</v>
          </cell>
        </row>
      </sheetData>
      <sheetData sheetId="16"/>
      <sheetData sheetId="17">
        <row r="8">
          <cell r="C8">
            <v>830760.78202283592</v>
          </cell>
        </row>
        <row r="25">
          <cell r="B25">
            <v>0.7504385933621569</v>
          </cell>
          <cell r="C25">
            <v>621655.29873207095</v>
          </cell>
        </row>
      </sheetData>
      <sheetData sheetId="18">
        <row r="39">
          <cell r="B39">
            <v>121000</v>
          </cell>
        </row>
      </sheetData>
      <sheetData sheetId="19">
        <row r="39">
          <cell r="B39">
            <v>12600</v>
          </cell>
        </row>
      </sheetData>
      <sheetData sheetId="20"/>
      <sheetData sheetId="21">
        <row r="29">
          <cell r="D29">
            <v>135740455.91343719</v>
          </cell>
        </row>
      </sheetData>
      <sheetData sheetId="22">
        <row r="36">
          <cell r="AI36">
            <v>135786811.44793066</v>
          </cell>
        </row>
        <row r="107">
          <cell r="AD107">
            <v>840962.66183949995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Ж.В. КРС"/>
      <sheetName val="Ж.В. Ш 1"/>
      <sheetName val="Ж.В. Ш 2-3"/>
      <sheetName val="Ж.В. Ш 4"/>
      <sheetName val="Скот убой "/>
      <sheetName val="себ-ть скота для забоя и реализ"/>
      <sheetName val="мясо на кости свинина"/>
      <sheetName val="по сортам Ш-1"/>
      <sheetName val="по сортам  Ш-4 "/>
      <sheetName val="по сортам Ш-2"/>
      <sheetName val="по сортам Ш-3"/>
      <sheetName val="мясо на кости КРС"/>
      <sheetName val="по сортам КРС"/>
      <sheetName val="фасованное мясо"/>
      <sheetName val="сырье для жиловки "/>
      <sheetName val="Жиловка КРС"/>
      <sheetName val="% для жиловки"/>
      <sheetName val="общая жиловка свинины"/>
      <sheetName val="жил. свинины на кр. кусок в шк"/>
      <sheetName val="жиловка свинины на круп. ку (2"/>
      <sheetName val="Жиловка свин для колб.изд."/>
      <sheetName val="Расход сырья"/>
      <sheetName val="СВОД РАСЧЕТ"/>
      <sheetName val="расчет полуфабрикатов"/>
      <sheetName val="расчет колб.изд."/>
      <sheetName val="ПО ВИДАМ КОЛБАС"/>
      <sheetName val="анализ"/>
      <sheetName val="распределение затрат"/>
      <sheetName val="План реал"/>
      <sheetName val="План реализации -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5">
          <cell r="C55">
            <v>890785.96000000008</v>
          </cell>
        </row>
        <row r="77">
          <cell r="C77">
            <v>149680.67960582141</v>
          </cell>
        </row>
      </sheetData>
      <sheetData sheetId="5">
        <row r="15">
          <cell r="O15">
            <v>83697.263565167959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9">
          <cell r="D9">
            <v>732393.39439868566</v>
          </cell>
        </row>
      </sheetData>
      <sheetData sheetId="12" refreshError="1"/>
      <sheetData sheetId="13">
        <row r="19">
          <cell r="D19">
            <v>7310946.8549764194</v>
          </cell>
        </row>
      </sheetData>
      <sheetData sheetId="14">
        <row r="75">
          <cell r="D75">
            <v>34185995.217026204</v>
          </cell>
        </row>
        <row r="78">
          <cell r="D78">
            <v>5688152.7135170419</v>
          </cell>
        </row>
        <row r="99">
          <cell r="D99">
            <v>15208899.627333205</v>
          </cell>
        </row>
      </sheetData>
      <sheetData sheetId="15">
        <row r="19">
          <cell r="C19">
            <v>50778.748433018081</v>
          </cell>
        </row>
      </sheetData>
      <sheetData sheetId="16" refreshError="1"/>
      <sheetData sheetId="17">
        <row r="25">
          <cell r="C25">
            <v>211095.03208857396</v>
          </cell>
        </row>
      </sheetData>
      <sheetData sheetId="18" refreshError="1"/>
      <sheetData sheetId="19" refreshError="1"/>
      <sheetData sheetId="20" refreshError="1"/>
      <sheetData sheetId="21">
        <row r="29">
          <cell r="D29">
            <v>47679488.602497503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tabColor rgb="FFFFC000"/>
  </sheetPr>
  <dimension ref="A1:K127"/>
  <sheetViews>
    <sheetView topLeftCell="A115" workbookViewId="0">
      <selection activeCell="G124" sqref="G124"/>
    </sheetView>
  </sheetViews>
  <sheetFormatPr defaultRowHeight="13.5" customHeight="1" outlineLevelCol="1"/>
  <cols>
    <col min="1" max="1" width="2.28515625" style="414" customWidth="1"/>
    <col min="2" max="2" width="42.42578125" style="414" customWidth="1"/>
    <col min="3" max="3" width="9" style="415" customWidth="1"/>
    <col min="4" max="4" width="7" style="912" customWidth="1"/>
    <col min="5" max="5" width="9.140625" style="912" customWidth="1"/>
    <col min="6" max="6" width="7.7109375" style="912" customWidth="1" outlineLevel="1"/>
    <col min="7" max="7" width="10.42578125" style="912" bestFit="1" customWidth="1" outlineLevel="1"/>
    <col min="8" max="8" width="8.7109375" style="912" customWidth="1" outlineLevel="1"/>
    <col min="9" max="9" width="10.28515625" style="912" customWidth="1" outlineLevel="1"/>
    <col min="10" max="16384" width="9.140625" style="414"/>
  </cols>
  <sheetData>
    <row r="1" spans="1:11" ht="13.5" customHeight="1" thickBot="1">
      <c r="A1" s="413" t="s">
        <v>654</v>
      </c>
    </row>
    <row r="2" spans="1:11" ht="13.5" customHeight="1" thickBot="1">
      <c r="A2" s="2335"/>
      <c r="B2" s="2337" t="s">
        <v>41</v>
      </c>
      <c r="C2" s="2339"/>
      <c r="D2" s="2333" t="s">
        <v>42</v>
      </c>
      <c r="E2" s="2334"/>
      <c r="F2" s="2333" t="s">
        <v>43</v>
      </c>
      <c r="G2" s="2334"/>
      <c r="H2" s="2333" t="s">
        <v>17</v>
      </c>
      <c r="I2" s="2334"/>
    </row>
    <row r="3" spans="1:11" ht="21.75" customHeight="1" thickBot="1">
      <c r="A3" s="2336"/>
      <c r="B3" s="2338"/>
      <c r="C3" s="2340"/>
      <c r="D3" s="913" t="s">
        <v>44</v>
      </c>
      <c r="E3" s="914" t="s">
        <v>45</v>
      </c>
      <c r="F3" s="913" t="s">
        <v>44</v>
      </c>
      <c r="G3" s="914" t="s">
        <v>45</v>
      </c>
      <c r="H3" s="913" t="s">
        <v>44</v>
      </c>
      <c r="I3" s="914" t="s">
        <v>45</v>
      </c>
    </row>
    <row r="4" spans="1:11" ht="18.75" customHeight="1">
      <c r="A4" s="416"/>
      <c r="B4" s="417" t="s">
        <v>198</v>
      </c>
      <c r="C4" s="418"/>
      <c r="D4" s="915"/>
      <c r="E4" s="916"/>
      <c r="F4" s="917"/>
      <c r="G4" s="918"/>
      <c r="H4" s="919"/>
      <c r="I4" s="918"/>
    </row>
    <row r="5" spans="1:11" ht="13.5" customHeight="1">
      <c r="A5" s="419"/>
      <c r="B5" s="946" t="s">
        <v>507</v>
      </c>
      <c r="C5" s="420" t="s">
        <v>12</v>
      </c>
      <c r="D5" s="947">
        <f>D7+D19</f>
        <v>1266.9679999999998</v>
      </c>
      <c r="E5" s="948">
        <f>E7+E19</f>
        <v>326780.82151954615</v>
      </c>
      <c r="F5" s="947">
        <f>F7+F19</f>
        <v>1186.2150502999998</v>
      </c>
      <c r="G5" s="948">
        <f>G7+G19</f>
        <v>304544.82476999995</v>
      </c>
      <c r="H5" s="920">
        <f>F5-D5</f>
        <v>-80.752949700000045</v>
      </c>
      <c r="I5" s="921">
        <f>G5-E5</f>
        <v>-22235.996749546204</v>
      </c>
    </row>
    <row r="6" spans="1:11" ht="13.5" customHeight="1">
      <c r="A6" s="419"/>
      <c r="B6" s="421" t="s">
        <v>46</v>
      </c>
      <c r="C6" s="422"/>
      <c r="D6" s="919"/>
      <c r="E6" s="922">
        <f>E5/D5*1000</f>
        <v>257923.50045111333</v>
      </c>
      <c r="F6" s="919"/>
      <c r="G6" s="922">
        <f>G5/F5*1000</f>
        <v>256736.6049629694</v>
      </c>
      <c r="H6" s="923"/>
      <c r="I6" s="922">
        <f t="shared" ref="I6" si="0">G6-E6</f>
        <v>-1186.8954881439277</v>
      </c>
    </row>
    <row r="7" spans="1:11" s="413" customFormat="1" ht="13.5" customHeight="1">
      <c r="A7" s="423"/>
      <c r="B7" s="424" t="s">
        <v>486</v>
      </c>
      <c r="C7" s="420" t="s">
        <v>12</v>
      </c>
      <c r="D7" s="920">
        <f>D9+D11+D13+D15+D17</f>
        <v>1043.5917499999998</v>
      </c>
      <c r="E7" s="924">
        <f>E9+E11+E13+E15+E17</f>
        <v>276178.55228979368</v>
      </c>
      <c r="F7" s="920">
        <f>F9+F11+F13+F15+F17</f>
        <v>982.16709329999992</v>
      </c>
      <c r="G7" s="924">
        <f>G9+G11+G13+G15+G17</f>
        <v>260570.37108999997</v>
      </c>
      <c r="H7" s="920">
        <f>F7-D7</f>
        <v>-61.4246566999999</v>
      </c>
      <c r="I7" s="921">
        <f>G7-E7</f>
        <v>-15608.181199793704</v>
      </c>
      <c r="J7" s="425"/>
    </row>
    <row r="8" spans="1:11" s="428" customFormat="1" ht="13.5" customHeight="1">
      <c r="A8" s="426"/>
      <c r="B8" s="427" t="s">
        <v>46</v>
      </c>
      <c r="C8" s="422"/>
      <c r="D8" s="920"/>
      <c r="E8" s="922">
        <f>E7/D7*1000</f>
        <v>264642.33000097377</v>
      </c>
      <c r="F8" s="920"/>
      <c r="G8" s="922">
        <f>G7/F7*1000</f>
        <v>265301.46740561747</v>
      </c>
      <c r="H8" s="923"/>
      <c r="I8" s="922">
        <f t="shared" ref="I8:I64" si="1">G8-E8</f>
        <v>659.13740464369766</v>
      </c>
    </row>
    <row r="9" spans="1:11" s="955" customFormat="1" ht="13.5" customHeight="1">
      <c r="A9" s="949"/>
      <c r="B9" s="950" t="s">
        <v>336</v>
      </c>
      <c r="C9" s="951" t="s">
        <v>12</v>
      </c>
      <c r="D9" s="952">
        <f>D72</f>
        <v>397.90999999999997</v>
      </c>
      <c r="E9" s="954">
        <f>[1]реализация!E9+[2]реализация!E9</f>
        <v>108845.18401334138</v>
      </c>
      <c r="F9" s="954">
        <f>F72</f>
        <v>359.72707729999996</v>
      </c>
      <c r="G9" s="953">
        <f>111664.21867-G11</f>
        <v>91617.920810000011</v>
      </c>
      <c r="H9" s="920">
        <f t="shared" ref="H9" si="2">F9-D9</f>
        <v>-38.182922700000006</v>
      </c>
      <c r="I9" s="921">
        <f t="shared" si="1"/>
        <v>-17227.263203341368</v>
      </c>
      <c r="K9" s="956"/>
    </row>
    <row r="10" spans="1:11" s="961" customFormat="1" ht="13.5" customHeight="1">
      <c r="A10" s="957"/>
      <c r="B10" s="958" t="s">
        <v>46</v>
      </c>
      <c r="C10" s="959"/>
      <c r="D10" s="952"/>
      <c r="E10" s="960">
        <f>E9/D9*1000</f>
        <v>273542.21812304639</v>
      </c>
      <c r="F10" s="954"/>
      <c r="G10" s="960">
        <f>G9/F9*1000</f>
        <v>254687.30766017325</v>
      </c>
      <c r="H10" s="923"/>
      <c r="I10" s="922">
        <f t="shared" ref="I10:I58" si="3">G10-E10</f>
        <v>-18854.910462873144</v>
      </c>
      <c r="K10" s="962"/>
    </row>
    <row r="11" spans="1:11" s="955" customFormat="1" ht="13.5" customHeight="1">
      <c r="A11" s="949"/>
      <c r="B11" s="950" t="s">
        <v>333</v>
      </c>
      <c r="C11" s="951" t="s">
        <v>12</v>
      </c>
      <c r="D11" s="952">
        <f>D74</f>
        <v>74.001000000000005</v>
      </c>
      <c r="E11" s="954">
        <f>[1]реализация!E11+[2]реализация!E11</f>
        <v>18956.245659416349</v>
      </c>
      <c r="F11" s="954">
        <f t="shared" ref="F11" si="4">F74</f>
        <v>76.824020000000004</v>
      </c>
      <c r="G11" s="953">
        <v>20046.297859999999</v>
      </c>
      <c r="H11" s="920">
        <f t="shared" ref="H11" si="5">F11-D11</f>
        <v>2.8230199999999996</v>
      </c>
      <c r="I11" s="921">
        <f t="shared" si="3"/>
        <v>1090.0522005836501</v>
      </c>
      <c r="K11" s="956"/>
    </row>
    <row r="12" spans="1:11" s="961" customFormat="1" ht="13.5" customHeight="1">
      <c r="A12" s="957"/>
      <c r="B12" s="958" t="s">
        <v>46</v>
      </c>
      <c r="C12" s="959"/>
      <c r="D12" s="952"/>
      <c r="E12" s="960">
        <f>E11/D11*1000</f>
        <v>256162.0202350826</v>
      </c>
      <c r="F12" s="954"/>
      <c r="G12" s="960">
        <f>G11/F11*1000</f>
        <v>260937.89234148379</v>
      </c>
      <c r="H12" s="923"/>
      <c r="I12" s="922">
        <f t="shared" si="3"/>
        <v>4775.8721064011916</v>
      </c>
      <c r="K12" s="962"/>
    </row>
    <row r="13" spans="1:11" s="955" customFormat="1" ht="13.5" customHeight="1">
      <c r="A13" s="949"/>
      <c r="B13" s="950" t="s">
        <v>332</v>
      </c>
      <c r="C13" s="951" t="s">
        <v>12</v>
      </c>
      <c r="D13" s="952">
        <f>D76</f>
        <v>394.5</v>
      </c>
      <c r="E13" s="954">
        <f>[1]реализация!E13+[2]реализация!E13</f>
        <v>108707.0224403196</v>
      </c>
      <c r="F13" s="954">
        <f t="shared" ref="F13" si="6">F76</f>
        <v>367.94535100000002</v>
      </c>
      <c r="G13" s="953">
        <v>104260.69759</v>
      </c>
      <c r="H13" s="920">
        <f t="shared" ref="H13" si="7">F13-D13</f>
        <v>-26.554648999999984</v>
      </c>
      <c r="I13" s="921">
        <f t="shared" si="3"/>
        <v>-4446.3248503196082</v>
      </c>
    </row>
    <row r="14" spans="1:11" s="961" customFormat="1" ht="13.5" customHeight="1">
      <c r="A14" s="957"/>
      <c r="B14" s="958" t="s">
        <v>46</v>
      </c>
      <c r="C14" s="959"/>
      <c r="D14" s="952"/>
      <c r="E14" s="960">
        <f>E13/D13*1000</f>
        <v>275556.4573899103</v>
      </c>
      <c r="F14" s="954"/>
      <c r="G14" s="960">
        <f>G13/F13*1000</f>
        <v>283359.19262640714</v>
      </c>
      <c r="H14" s="923"/>
      <c r="I14" s="922">
        <f t="shared" si="3"/>
        <v>7802.7352364968392</v>
      </c>
    </row>
    <row r="15" spans="1:11" s="955" customFormat="1" ht="13.5" customHeight="1">
      <c r="A15" s="949"/>
      <c r="B15" s="950" t="s">
        <v>334</v>
      </c>
      <c r="C15" s="951" t="s">
        <v>12</v>
      </c>
      <c r="D15" s="952">
        <f>D78</f>
        <v>102.10475</v>
      </c>
      <c r="E15" s="954">
        <f>[1]реализация!E15+[2]реализация!E15</f>
        <v>25037.280533039393</v>
      </c>
      <c r="F15" s="954">
        <f t="shared" ref="F15" si="8">F78</f>
        <v>87.896090000000001</v>
      </c>
      <c r="G15" s="953">
        <v>23884.26557</v>
      </c>
      <c r="H15" s="920">
        <f t="shared" ref="H15" si="9">F15-D15</f>
        <v>-14.208659999999995</v>
      </c>
      <c r="I15" s="921">
        <f t="shared" si="3"/>
        <v>-1153.0149630393935</v>
      </c>
    </row>
    <row r="16" spans="1:11" s="961" customFormat="1" ht="13.5" customHeight="1">
      <c r="A16" s="957"/>
      <c r="B16" s="958" t="s">
        <v>46</v>
      </c>
      <c r="C16" s="959"/>
      <c r="D16" s="952"/>
      <c r="E16" s="960">
        <f>E15/D15*1000</f>
        <v>245211.71182574166</v>
      </c>
      <c r="F16" s="954"/>
      <c r="G16" s="960">
        <f>G15/F15*1000</f>
        <v>271732.96980559657</v>
      </c>
      <c r="H16" s="923"/>
      <c r="I16" s="922">
        <f t="shared" si="3"/>
        <v>26521.257979854912</v>
      </c>
    </row>
    <row r="17" spans="1:11" s="955" customFormat="1" ht="13.5" customHeight="1">
      <c r="A17" s="949"/>
      <c r="B17" s="950" t="s">
        <v>335</v>
      </c>
      <c r="C17" s="951" t="s">
        <v>12</v>
      </c>
      <c r="D17" s="952">
        <f>D80</f>
        <v>75.076000000000008</v>
      </c>
      <c r="E17" s="954">
        <f>[1]реализация!E17+[2]реализация!E17</f>
        <v>14632.819643676969</v>
      </c>
      <c r="F17" s="954">
        <f t="shared" ref="F17" si="10">F80</f>
        <v>89.774555000000007</v>
      </c>
      <c r="G17" s="953">
        <f>16778.15826+3983.031</f>
        <v>20761.189259999999</v>
      </c>
      <c r="H17" s="920">
        <f t="shared" ref="H17:H19" si="11">F17-D17</f>
        <v>14.698554999999999</v>
      </c>
      <c r="I17" s="921">
        <f t="shared" si="3"/>
        <v>6128.3696163230306</v>
      </c>
    </row>
    <row r="18" spans="1:11" s="428" customFormat="1" ht="13.5" customHeight="1">
      <c r="A18" s="426"/>
      <c r="B18" s="427" t="s">
        <v>46</v>
      </c>
      <c r="C18" s="422"/>
      <c r="D18" s="920"/>
      <c r="E18" s="960">
        <f>E17/D17*1000</f>
        <v>194906.75640253833</v>
      </c>
      <c r="F18" s="954"/>
      <c r="G18" s="922">
        <f>G17/F17*1000</f>
        <v>231259.17204490735</v>
      </c>
      <c r="H18" s="923"/>
      <c r="I18" s="922">
        <f t="shared" si="3"/>
        <v>36352.415642369015</v>
      </c>
    </row>
    <row r="19" spans="1:11" s="413" customFormat="1" ht="13.5" customHeight="1">
      <c r="A19" s="423"/>
      <c r="B19" s="424" t="s">
        <v>487</v>
      </c>
      <c r="C19" s="420" t="s">
        <v>12</v>
      </c>
      <c r="D19" s="952">
        <f>D21+D23+D27+D31+D25+D29</f>
        <v>223.37625</v>
      </c>
      <c r="E19" s="953">
        <f>E21+E23+E27+E31+E25+E29</f>
        <v>50602.269229752485</v>
      </c>
      <c r="F19" s="952">
        <f>F21+F23+F27+F31+F25+F29</f>
        <v>204.047957</v>
      </c>
      <c r="G19" s="953">
        <f>G21+G23+G27+G31+G25+G29</f>
        <v>43974.453679999999</v>
      </c>
      <c r="H19" s="920">
        <f t="shared" si="11"/>
        <v>-19.328293000000002</v>
      </c>
      <c r="I19" s="921">
        <f t="shared" si="3"/>
        <v>-6627.8155497524858</v>
      </c>
      <c r="J19" s="425"/>
      <c r="K19" s="425"/>
    </row>
    <row r="20" spans="1:11" s="428" customFormat="1" ht="13.5" customHeight="1">
      <c r="A20" s="426"/>
      <c r="B20" s="427" t="s">
        <v>46</v>
      </c>
      <c r="C20" s="422"/>
      <c r="D20" s="920"/>
      <c r="E20" s="922">
        <f>E19/D19*1000</f>
        <v>226533.79322892422</v>
      </c>
      <c r="F20" s="925"/>
      <c r="G20" s="922">
        <f>G19/F19*1000</f>
        <v>215510.38455141211</v>
      </c>
      <c r="H20" s="923"/>
      <c r="I20" s="922">
        <f t="shared" si="3"/>
        <v>-11023.40867751211</v>
      </c>
      <c r="K20" s="429"/>
    </row>
    <row r="21" spans="1:11" s="955" customFormat="1" ht="13.5" customHeight="1">
      <c r="A21" s="949"/>
      <c r="B21" s="950" t="s">
        <v>533</v>
      </c>
      <c r="C21" s="951" t="s">
        <v>12</v>
      </c>
      <c r="D21" s="952">
        <f>D84</f>
        <v>45.494249999999994</v>
      </c>
      <c r="E21" s="954">
        <f>[1]реализация!E21+[2]реализация!E21</f>
        <v>13775.748938894965</v>
      </c>
      <c r="F21" s="954">
        <f t="shared" ref="F21:F31" si="12">F84</f>
        <v>40.233177000000005</v>
      </c>
      <c r="G21" s="954">
        <f>43974.45368-G23-G25-G27-G29-G31</f>
        <v>11571.889930000001</v>
      </c>
      <c r="H21" s="920">
        <f t="shared" ref="H21" si="13">F21-D21</f>
        <v>-5.261072999999989</v>
      </c>
      <c r="I21" s="921">
        <f t="shared" si="3"/>
        <v>-2203.8590088949641</v>
      </c>
      <c r="K21" s="956"/>
    </row>
    <row r="22" spans="1:11" s="961" customFormat="1" ht="13.5" customHeight="1">
      <c r="A22" s="957"/>
      <c r="B22" s="958" t="s">
        <v>46</v>
      </c>
      <c r="C22" s="959"/>
      <c r="D22" s="952"/>
      <c r="E22" s="960">
        <f>E21/D21*1000</f>
        <v>302801.97912692191</v>
      </c>
      <c r="F22" s="954"/>
      <c r="G22" s="960">
        <f>G21/F21*1000</f>
        <v>287620.58561768563</v>
      </c>
      <c r="H22" s="923"/>
      <c r="I22" s="922">
        <f t="shared" si="3"/>
        <v>-15181.393509236281</v>
      </c>
      <c r="K22" s="962"/>
    </row>
    <row r="23" spans="1:11" s="955" customFormat="1" ht="13.5" customHeight="1">
      <c r="A23" s="949"/>
      <c r="B23" s="950" t="s">
        <v>345</v>
      </c>
      <c r="C23" s="951" t="s">
        <v>12</v>
      </c>
      <c r="D23" s="952">
        <f>D86</f>
        <v>66.668000000000006</v>
      </c>
      <c r="E23" s="954">
        <f>[1]реализация!E23+[2]реализация!E23</f>
        <v>13644.946185119854</v>
      </c>
      <c r="F23" s="954">
        <f t="shared" si="12"/>
        <v>51.56026</v>
      </c>
      <c r="G23" s="953">
        <v>9372.6249499999994</v>
      </c>
      <c r="H23" s="920">
        <f t="shared" ref="H23" si="14">F23-D23</f>
        <v>-15.107740000000007</v>
      </c>
      <c r="I23" s="921">
        <f t="shared" si="3"/>
        <v>-4272.3212351198545</v>
      </c>
    </row>
    <row r="24" spans="1:11" s="961" customFormat="1" ht="13.5" customHeight="1">
      <c r="A24" s="957"/>
      <c r="B24" s="958" t="s">
        <v>46</v>
      </c>
      <c r="C24" s="959"/>
      <c r="D24" s="952"/>
      <c r="E24" s="960">
        <f>E23/D23*1000</f>
        <v>204670.09937481029</v>
      </c>
      <c r="F24" s="954"/>
      <c r="G24" s="960">
        <f>G23/F23*1000</f>
        <v>181780.01720705055</v>
      </c>
      <c r="H24" s="923"/>
      <c r="I24" s="922">
        <f t="shared" si="3"/>
        <v>-22890.082167759741</v>
      </c>
    </row>
    <row r="25" spans="1:11" s="955" customFormat="1" ht="13.5" customHeight="1">
      <c r="A25" s="949"/>
      <c r="B25" s="950" t="s">
        <v>361</v>
      </c>
      <c r="C25" s="951" t="s">
        <v>12</v>
      </c>
      <c r="D25" s="952">
        <f>D88</f>
        <v>30.951499999999999</v>
      </c>
      <c r="E25" s="954">
        <f>[1]реализация!E25+[2]реализация!E25</f>
        <v>5186.3437569033804</v>
      </c>
      <c r="F25" s="954">
        <f t="shared" si="12"/>
        <v>27.006599999999999</v>
      </c>
      <c r="G25" s="953">
        <v>4208.7227599999997</v>
      </c>
      <c r="H25" s="920">
        <f t="shared" ref="H25" si="15">F25-D25</f>
        <v>-3.9449000000000005</v>
      </c>
      <c r="I25" s="921">
        <f t="shared" si="3"/>
        <v>-977.62099690338073</v>
      </c>
    </row>
    <row r="26" spans="1:11" s="961" customFormat="1" ht="13.5" customHeight="1">
      <c r="A26" s="957"/>
      <c r="B26" s="958" t="s">
        <v>46</v>
      </c>
      <c r="C26" s="959"/>
      <c r="D26" s="952"/>
      <c r="E26" s="960">
        <f>E25/D25*1000</f>
        <v>167563.56741687414</v>
      </c>
      <c r="F26" s="954"/>
      <c r="G26" s="960">
        <f>G25/F25*1000</f>
        <v>155840.52638984544</v>
      </c>
      <c r="H26" s="923"/>
      <c r="I26" s="922">
        <f t="shared" si="3"/>
        <v>-11723.041027028696</v>
      </c>
    </row>
    <row r="27" spans="1:11" s="955" customFormat="1" ht="13.5" customHeight="1">
      <c r="A27" s="949"/>
      <c r="B27" s="950" t="s">
        <v>318</v>
      </c>
      <c r="C27" s="951" t="s">
        <v>12</v>
      </c>
      <c r="D27" s="952">
        <f>D90</f>
        <v>42.396000000000001</v>
      </c>
      <c r="E27" s="954">
        <f>[1]реализация!E27+[2]реализация!E27</f>
        <v>6826.3921664540921</v>
      </c>
      <c r="F27" s="954">
        <f t="shared" si="12"/>
        <v>42.189100000000003</v>
      </c>
      <c r="G27" s="953">
        <v>6485.9425499999998</v>
      </c>
      <c r="H27" s="920">
        <f t="shared" ref="H27" si="16">F27-D27</f>
        <v>-0.20689999999999742</v>
      </c>
      <c r="I27" s="921">
        <f t="shared" si="3"/>
        <v>-340.44961645409239</v>
      </c>
    </row>
    <row r="28" spans="1:11" s="961" customFormat="1" ht="13.5" customHeight="1">
      <c r="A28" s="957"/>
      <c r="B28" s="958" t="s">
        <v>46</v>
      </c>
      <c r="C28" s="959"/>
      <c r="D28" s="952"/>
      <c r="E28" s="960">
        <f>E27/D27*1000</f>
        <v>161015.00534140231</v>
      </c>
      <c r="F28" s="954"/>
      <c r="G28" s="960">
        <f>G27/F27*1000</f>
        <v>153735.02990108819</v>
      </c>
      <c r="H28" s="923"/>
      <c r="I28" s="922">
        <f t="shared" si="3"/>
        <v>-7279.9754403141269</v>
      </c>
    </row>
    <row r="29" spans="1:11" s="961" customFormat="1" ht="13.5" customHeight="1">
      <c r="A29" s="957"/>
      <c r="B29" s="963" t="s">
        <v>562</v>
      </c>
      <c r="C29" s="959"/>
      <c r="D29" s="952">
        <f>D92</f>
        <v>0</v>
      </c>
      <c r="E29" s="953">
        <f>D29*E30/1000</f>
        <v>0</v>
      </c>
      <c r="F29" s="954">
        <f t="shared" si="12"/>
        <v>10.5305</v>
      </c>
      <c r="G29" s="953">
        <v>2974.8214200000002</v>
      </c>
      <c r="H29" s="920">
        <f t="shared" ref="H29" si="17">F29-D29</f>
        <v>10.5305</v>
      </c>
      <c r="I29" s="921">
        <f t="shared" si="3"/>
        <v>2974.8214200000002</v>
      </c>
    </row>
    <row r="30" spans="1:11" s="961" customFormat="1" ht="13.5" customHeight="1">
      <c r="A30" s="957"/>
      <c r="B30" s="958" t="s">
        <v>46</v>
      </c>
      <c r="C30" s="959"/>
      <c r="D30" s="952"/>
      <c r="E30" s="960"/>
      <c r="F30" s="954"/>
      <c r="G30" s="960">
        <f>G29/F29*1000</f>
        <v>282495.74284222024</v>
      </c>
      <c r="H30" s="923"/>
      <c r="I30" s="922">
        <f t="shared" si="3"/>
        <v>282495.74284222024</v>
      </c>
    </row>
    <row r="31" spans="1:11" s="955" customFormat="1" ht="13.5" customHeight="1">
      <c r="A31" s="949"/>
      <c r="B31" s="950" t="s">
        <v>319</v>
      </c>
      <c r="C31" s="951" t="s">
        <v>12</v>
      </c>
      <c r="D31" s="952">
        <f>D94</f>
        <v>37.866500000000002</v>
      </c>
      <c r="E31" s="954">
        <f>[1]реализация!E29+[2]реализация!E29</f>
        <v>11168.838182380201</v>
      </c>
      <c r="F31" s="954">
        <f t="shared" si="12"/>
        <v>32.528320000000001</v>
      </c>
      <c r="G31" s="953">
        <v>9360.4520699999994</v>
      </c>
      <c r="H31" s="920">
        <f t="shared" ref="H31" si="18">F31-D31</f>
        <v>-5.3381800000000013</v>
      </c>
      <c r="I31" s="921">
        <f t="shared" si="3"/>
        <v>-1808.3861123802017</v>
      </c>
    </row>
    <row r="32" spans="1:11" s="961" customFormat="1" ht="13.5" customHeight="1">
      <c r="A32" s="957"/>
      <c r="B32" s="958" t="s">
        <v>46</v>
      </c>
      <c r="C32" s="959"/>
      <c r="D32" s="952"/>
      <c r="E32" s="960">
        <f>E31/D31*1000</f>
        <v>294953.01077153155</v>
      </c>
      <c r="F32" s="954"/>
      <c r="G32" s="960">
        <f>G31/F31*1000</f>
        <v>287763.15745787055</v>
      </c>
      <c r="H32" s="923"/>
      <c r="I32" s="922">
        <f t="shared" si="3"/>
        <v>-7189.8533136610058</v>
      </c>
    </row>
    <row r="33" spans="1:10" s="961" customFormat="1" ht="13.5" customHeight="1">
      <c r="A33" s="957"/>
      <c r="B33" s="424" t="s">
        <v>514</v>
      </c>
      <c r="C33" s="951" t="s">
        <v>12</v>
      </c>
      <c r="D33" s="952">
        <f>D96</f>
        <v>1702.6933043274373</v>
      </c>
      <c r="E33" s="954">
        <f>[1]реализация!E31+[2]реализация!E31</f>
        <v>233579.33293317456</v>
      </c>
      <c r="F33" s="954">
        <f>F96</f>
        <v>1660.9318499999999</v>
      </c>
      <c r="G33" s="953">
        <v>224643.50271999999</v>
      </c>
      <c r="H33" s="920">
        <f t="shared" ref="H33" si="19">F33-D33</f>
        <v>-41.761454327437377</v>
      </c>
      <c r="I33" s="921">
        <f t="shared" si="3"/>
        <v>-8935.8302131745731</v>
      </c>
    </row>
    <row r="34" spans="1:10" s="961" customFormat="1" ht="13.5" customHeight="1">
      <c r="A34" s="957"/>
      <c r="B34" s="427" t="s">
        <v>46</v>
      </c>
      <c r="C34" s="959"/>
      <c r="D34" s="952"/>
      <c r="E34" s="960">
        <f>E33/D33*1000</f>
        <v>137182.27019483008</v>
      </c>
      <c r="F34" s="954"/>
      <c r="G34" s="922">
        <f>G33/F33*1000</f>
        <v>135251.48712152155</v>
      </c>
      <c r="H34" s="923"/>
      <c r="I34" s="922">
        <f t="shared" si="3"/>
        <v>-1930.7830733085284</v>
      </c>
    </row>
    <row r="35" spans="1:10" s="413" customFormat="1" ht="13.5" customHeight="1">
      <c r="A35" s="423"/>
      <c r="B35" s="424" t="s">
        <v>513</v>
      </c>
      <c r="C35" s="951" t="s">
        <v>12</v>
      </c>
      <c r="D35" s="920">
        <f>D98</f>
        <v>169.64999999999998</v>
      </c>
      <c r="E35" s="954">
        <f>[1]реализация!E33+[2]реализация!E33</f>
        <v>45548.234661117436</v>
      </c>
      <c r="F35" s="925">
        <f>F98</f>
        <v>148.42791</v>
      </c>
      <c r="G35" s="921">
        <v>40285.467470000003</v>
      </c>
      <c r="H35" s="920">
        <f t="shared" ref="H35" si="20">F35-D35</f>
        <v>-21.22208999999998</v>
      </c>
      <c r="I35" s="921">
        <f t="shared" si="3"/>
        <v>-5262.767191117433</v>
      </c>
    </row>
    <row r="36" spans="1:10" s="428" customFormat="1" ht="13.5" customHeight="1">
      <c r="A36" s="426"/>
      <c r="B36" s="427" t="s">
        <v>46</v>
      </c>
      <c r="C36" s="959"/>
      <c r="D36" s="920"/>
      <c r="E36" s="922">
        <f>E35/D35*1000</f>
        <v>268483.5523791184</v>
      </c>
      <c r="F36" s="925"/>
      <c r="G36" s="922">
        <f>G35/F35*1000</f>
        <v>271414.3685645106</v>
      </c>
      <c r="H36" s="923"/>
      <c r="I36" s="922">
        <f t="shared" si="3"/>
        <v>2930.8161853922065</v>
      </c>
    </row>
    <row r="37" spans="1:10" s="428" customFormat="1" ht="13.5" customHeight="1">
      <c r="A37" s="426"/>
      <c r="B37" s="424" t="s">
        <v>523</v>
      </c>
      <c r="C37" s="951" t="s">
        <v>12</v>
      </c>
      <c r="D37" s="920">
        <f>D100</f>
        <v>15.620854658016999</v>
      </c>
      <c r="E37" s="1250">
        <f>E100</f>
        <v>1249.6683726413596</v>
      </c>
      <c r="F37" s="925">
        <f>F100</f>
        <v>32.140982999999999</v>
      </c>
      <c r="G37" s="921">
        <f>5433.0236+383.8163+23.91438</f>
        <v>5840.754280000001</v>
      </c>
      <c r="H37" s="920">
        <f t="shared" ref="H37" si="21">F37-D37</f>
        <v>16.520128341983</v>
      </c>
      <c r="I37" s="921">
        <f t="shared" si="3"/>
        <v>4591.0859073586416</v>
      </c>
    </row>
    <row r="38" spans="1:10" s="428" customFormat="1" ht="13.5" customHeight="1">
      <c r="A38" s="426"/>
      <c r="B38" s="427" t="s">
        <v>46</v>
      </c>
      <c r="C38" s="959"/>
      <c r="D38" s="920"/>
      <c r="E38" s="922">
        <f>E37/D37*1000</f>
        <v>79999.999999999985</v>
      </c>
      <c r="F38" s="925"/>
      <c r="G38" s="922">
        <f>G37/F37*1000</f>
        <v>181722.95103730963</v>
      </c>
      <c r="H38" s="923"/>
      <c r="I38" s="922">
        <f t="shared" si="3"/>
        <v>101722.95103730964</v>
      </c>
    </row>
    <row r="39" spans="1:10" s="413" customFormat="1" ht="13.5" customHeight="1">
      <c r="A39" s="423"/>
      <c r="B39" s="424" t="s">
        <v>515</v>
      </c>
      <c r="C39" s="951" t="s">
        <v>12</v>
      </c>
      <c r="D39" s="920">
        <f>D102</f>
        <v>4.3494639496803043</v>
      </c>
      <c r="E39" s="921">
        <f>D39*E40/1000</f>
        <v>652.41959245204566</v>
      </c>
      <c r="F39" s="925">
        <f>F102</f>
        <v>10.592890000000001</v>
      </c>
      <c r="G39" s="921">
        <v>1757.7007699999999</v>
      </c>
      <c r="H39" s="920">
        <f t="shared" ref="H39" si="22">F39-D39</f>
        <v>6.2434260503196963</v>
      </c>
      <c r="I39" s="921">
        <f t="shared" si="3"/>
        <v>1105.2811775479543</v>
      </c>
    </row>
    <row r="40" spans="1:10" s="428" customFormat="1" ht="13.5" customHeight="1">
      <c r="A40" s="426"/>
      <c r="B40" s="427" t="s">
        <v>46</v>
      </c>
      <c r="C40" s="959"/>
      <c r="D40" s="920"/>
      <c r="E40" s="922">
        <f>E103</f>
        <v>150000</v>
      </c>
      <c r="F40" s="925"/>
      <c r="G40" s="922">
        <f>G39/F39*1000</f>
        <v>165932.12711545193</v>
      </c>
      <c r="H40" s="923"/>
      <c r="I40" s="922">
        <f t="shared" si="3"/>
        <v>15932.127115451935</v>
      </c>
    </row>
    <row r="41" spans="1:10" s="413" customFormat="1" ht="13.5" customHeight="1">
      <c r="A41" s="423"/>
      <c r="B41" s="424" t="s">
        <v>47</v>
      </c>
      <c r="C41" s="420" t="s">
        <v>12</v>
      </c>
      <c r="D41" s="920">
        <f>D104</f>
        <v>142.49350486535047</v>
      </c>
      <c r="E41" s="921">
        <f>D41*E42/1000</f>
        <v>8172.6211582971519</v>
      </c>
      <c r="F41" s="925">
        <f>F104</f>
        <v>231.43007999999998</v>
      </c>
      <c r="G41" s="921">
        <f>G104</f>
        <v>14262.870849999999</v>
      </c>
      <c r="H41" s="920">
        <f t="shared" ref="H41" si="23">F41-D41</f>
        <v>88.936575134649502</v>
      </c>
      <c r="I41" s="921">
        <f t="shared" si="3"/>
        <v>6090.2496917028475</v>
      </c>
      <c r="J41" s="711"/>
    </row>
    <row r="42" spans="1:10" s="428" customFormat="1" ht="13.5" customHeight="1">
      <c r="A42" s="426"/>
      <c r="B42" s="427" t="s">
        <v>46</v>
      </c>
      <c r="C42" s="422"/>
      <c r="D42" s="920"/>
      <c r="E42" s="922">
        <f>E105</f>
        <v>57354.341631359879</v>
      </c>
      <c r="F42" s="925"/>
      <c r="G42" s="922">
        <f>G41/F41*1000</f>
        <v>61629.287126375282</v>
      </c>
      <c r="H42" s="923"/>
      <c r="I42" s="922">
        <f t="shared" si="3"/>
        <v>4274.9454950154031</v>
      </c>
    </row>
    <row r="43" spans="1:10" s="413" customFormat="1" ht="13.5" customHeight="1">
      <c r="A43" s="423"/>
      <c r="B43" s="424" t="s">
        <v>48</v>
      </c>
      <c r="C43" s="420" t="s">
        <v>12</v>
      </c>
      <c r="D43" s="920">
        <f>D106</f>
        <v>103.79055128998793</v>
      </c>
      <c r="E43" s="921">
        <f>D43*E44/1000</f>
        <v>8070.8526955391771</v>
      </c>
      <c r="F43" s="925">
        <f>F106</f>
        <v>82.848649999999992</v>
      </c>
      <c r="G43" s="921">
        <f>G106</f>
        <v>6957.7220499999994</v>
      </c>
      <c r="H43" s="920">
        <f t="shared" ref="H43" si="24">F43-D43</f>
        <v>-20.941901289987939</v>
      </c>
      <c r="I43" s="921">
        <f t="shared" si="3"/>
        <v>-1113.1306455391777</v>
      </c>
    </row>
    <row r="44" spans="1:10" s="428" customFormat="1" ht="13.5" customHeight="1">
      <c r="A44" s="426"/>
      <c r="B44" s="427" t="s">
        <v>46</v>
      </c>
      <c r="C44" s="422"/>
      <c r="D44" s="920"/>
      <c r="E44" s="922">
        <f>E107</f>
        <v>77760.957960319894</v>
      </c>
      <c r="F44" s="925"/>
      <c r="G44" s="922">
        <f>G43/F43*1000</f>
        <v>83981.115564345338</v>
      </c>
      <c r="H44" s="923"/>
      <c r="I44" s="922">
        <f t="shared" si="3"/>
        <v>6220.157604025444</v>
      </c>
    </row>
    <row r="45" spans="1:10" s="413" customFormat="1" ht="13.5" customHeight="1">
      <c r="A45" s="423"/>
      <c r="B45" s="424" t="s">
        <v>49</v>
      </c>
      <c r="C45" s="420" t="s">
        <v>12</v>
      </c>
      <c r="D45" s="920">
        <f>D108</f>
        <v>11.052495282443928</v>
      </c>
      <c r="E45" s="921">
        <f>D45*E46/1000</f>
        <v>3903.879742473307</v>
      </c>
      <c r="F45" s="925">
        <f>F108</f>
        <v>6.1417900000000003</v>
      </c>
      <c r="G45" s="921">
        <f>G108</f>
        <v>2145.3397199999999</v>
      </c>
      <c r="H45" s="920">
        <f t="shared" ref="H45" si="25">F45-D45</f>
        <v>-4.9107052824439279</v>
      </c>
      <c r="I45" s="921">
        <f t="shared" si="3"/>
        <v>-1758.5400224733071</v>
      </c>
    </row>
    <row r="46" spans="1:10" s="428" customFormat="1" ht="13.5" customHeight="1">
      <c r="A46" s="426"/>
      <c r="B46" s="427" t="s">
        <v>46</v>
      </c>
      <c r="C46" s="422"/>
      <c r="D46" s="920"/>
      <c r="E46" s="922">
        <f>E109</f>
        <v>353212.52284760814</v>
      </c>
      <c r="F46" s="925"/>
      <c r="G46" s="922">
        <f>G45/F45*1000</f>
        <v>349302.03084117168</v>
      </c>
      <c r="H46" s="923"/>
      <c r="I46" s="922">
        <f t="shared" si="3"/>
        <v>-3910.492006436456</v>
      </c>
    </row>
    <row r="47" spans="1:10" s="413" customFormat="1" ht="13.5" customHeight="1">
      <c r="A47" s="423"/>
      <c r="B47" s="424" t="s">
        <v>596</v>
      </c>
      <c r="C47" s="420" t="s">
        <v>12</v>
      </c>
      <c r="D47" s="920">
        <f>D110</f>
        <v>677.63499999999999</v>
      </c>
      <c r="E47" s="954">
        <f>[1]реализация!E45+[2]реализация!E45</f>
        <v>17046.242216085884</v>
      </c>
      <c r="F47" s="925">
        <f>F110</f>
        <v>623.37063999999998</v>
      </c>
      <c r="G47" s="921">
        <f>F47*22.08229154+139.764</f>
        <v>13905.216209956385</v>
      </c>
      <c r="H47" s="920">
        <f t="shared" ref="H47" si="26">F47-D47</f>
        <v>-54.264360000000011</v>
      </c>
      <c r="I47" s="921">
        <f t="shared" si="3"/>
        <v>-3141.0260061294994</v>
      </c>
    </row>
    <row r="48" spans="1:10" s="428" customFormat="1" ht="13.5" customHeight="1">
      <c r="A48" s="426"/>
      <c r="B48" s="427" t="s">
        <v>46</v>
      </c>
      <c r="C48" s="422"/>
      <c r="D48" s="920"/>
      <c r="E48" s="922">
        <f>E47/D47*1000</f>
        <v>25155.492582416617</v>
      </c>
      <c r="F48" s="925"/>
      <c r="G48" s="922">
        <f>G47/F47*1000</f>
        <v>22306.49844201258</v>
      </c>
      <c r="H48" s="923"/>
      <c r="I48" s="922">
        <f t="shared" si="3"/>
        <v>-2848.9941404040364</v>
      </c>
    </row>
    <row r="49" spans="1:10" s="413" customFormat="1" ht="13.5" customHeight="1" collapsed="1">
      <c r="A49" s="423"/>
      <c r="B49" s="424" t="s">
        <v>674</v>
      </c>
      <c r="C49" s="420" t="s">
        <v>12</v>
      </c>
      <c r="D49" s="920">
        <f>D112</f>
        <v>1.2769999999999999</v>
      </c>
      <c r="E49" s="954">
        <f>[1]реализация!E47+[2]реализация!E47</f>
        <v>38.31</v>
      </c>
      <c r="F49" s="925">
        <f>F112</f>
        <v>0.61621000000000004</v>
      </c>
      <c r="G49" s="921">
        <f>G112</f>
        <v>31.74</v>
      </c>
      <c r="H49" s="920">
        <f t="shared" ref="H49" si="27">F49-D49</f>
        <v>-0.66078999999999988</v>
      </c>
      <c r="I49" s="921">
        <f t="shared" si="3"/>
        <v>-6.5700000000000038</v>
      </c>
    </row>
    <row r="50" spans="1:10" s="428" customFormat="1" ht="13.5" customHeight="1">
      <c r="A50" s="426"/>
      <c r="B50" s="427" t="s">
        <v>50</v>
      </c>
      <c r="C50" s="422"/>
      <c r="D50" s="920"/>
      <c r="E50" s="922">
        <f>E113</f>
        <v>30000.000000000004</v>
      </c>
      <c r="F50" s="925"/>
      <c r="G50" s="922">
        <f>G49/F49*1000</f>
        <v>51508.414339267452</v>
      </c>
      <c r="H50" s="923"/>
      <c r="I50" s="922">
        <f t="shared" si="3"/>
        <v>21508.414339267449</v>
      </c>
    </row>
    <row r="51" spans="1:10" s="413" customFormat="1" ht="13.5" customHeight="1">
      <c r="A51" s="423"/>
      <c r="B51" s="424" t="s">
        <v>673</v>
      </c>
      <c r="C51" s="420" t="s">
        <v>12</v>
      </c>
      <c r="D51" s="920">
        <f>D114</f>
        <v>0</v>
      </c>
      <c r="E51" s="921">
        <f>D51*E52/1000</f>
        <v>0</v>
      </c>
      <c r="F51" s="925">
        <f>F114</f>
        <v>51.838000000000001</v>
      </c>
      <c r="G51" s="921">
        <v>4572.3787199999997</v>
      </c>
      <c r="H51" s="920">
        <f t="shared" ref="H51" si="28">F51-D51</f>
        <v>51.838000000000001</v>
      </c>
      <c r="I51" s="921">
        <f t="shared" si="3"/>
        <v>4572.3787199999997</v>
      </c>
    </row>
    <row r="52" spans="1:10" s="428" customFormat="1" ht="11.25">
      <c r="A52" s="426"/>
      <c r="B52" s="427" t="s">
        <v>50</v>
      </c>
      <c r="C52" s="422"/>
      <c r="D52" s="920"/>
      <c r="E52" s="922"/>
      <c r="F52" s="925"/>
      <c r="G52" s="922">
        <f>G51/F51*1000</f>
        <v>88205.152976580881</v>
      </c>
      <c r="H52" s="923"/>
      <c r="I52" s="922">
        <f t="shared" si="3"/>
        <v>88205.152976580881</v>
      </c>
    </row>
    <row r="53" spans="1:10" s="413" customFormat="1" ht="27" customHeight="1">
      <c r="A53" s="423"/>
      <c r="B53" s="430" t="s">
        <v>51</v>
      </c>
      <c r="C53" s="420" t="s">
        <v>12</v>
      </c>
      <c r="D53" s="920">
        <f>D116</f>
        <v>926.1</v>
      </c>
      <c r="E53" s="954">
        <f>[1]реализация!E51+[2]реализация!E51</f>
        <v>84891.546722517494</v>
      </c>
      <c r="F53" s="925">
        <f>F116</f>
        <v>1089.154</v>
      </c>
      <c r="G53" s="921">
        <v>94447.274829999995</v>
      </c>
      <c r="H53" s="920">
        <f t="shared" ref="H53" si="29">F53-D53</f>
        <v>163.05399999999997</v>
      </c>
      <c r="I53" s="921">
        <f t="shared" si="3"/>
        <v>9555.7281074825005</v>
      </c>
    </row>
    <row r="54" spans="1:10" s="428" customFormat="1" ht="13.5" customHeight="1">
      <c r="A54" s="426"/>
      <c r="B54" s="427" t="s">
        <v>46</v>
      </c>
      <c r="C54" s="422"/>
      <c r="D54" s="920"/>
      <c r="E54" s="960">
        <f>E53/D53*1000</f>
        <v>91665.637320502647</v>
      </c>
      <c r="F54" s="925"/>
      <c r="G54" s="922">
        <f>G53/F53*1000</f>
        <v>86716.180475855566</v>
      </c>
      <c r="H54" s="923"/>
      <c r="I54" s="922">
        <f t="shared" si="3"/>
        <v>-4949.4568446470803</v>
      </c>
    </row>
    <row r="55" spans="1:10" s="413" customFormat="1" ht="13.5" customHeight="1">
      <c r="A55" s="423"/>
      <c r="B55" s="424" t="s">
        <v>52</v>
      </c>
      <c r="C55" s="420" t="s">
        <v>12</v>
      </c>
      <c r="D55" s="920">
        <f>D118</f>
        <v>21.840002944097051</v>
      </c>
      <c r="E55" s="921">
        <f>D55*E56/1000</f>
        <v>687.96009273905713</v>
      </c>
      <c r="F55" s="925">
        <f>F118</f>
        <v>21.252780000000001</v>
      </c>
      <c r="G55" s="921">
        <f>G118</f>
        <v>850.00620000000004</v>
      </c>
      <c r="H55" s="920">
        <f t="shared" ref="H55" si="30">F55-D55</f>
        <v>-0.58722294409705</v>
      </c>
      <c r="I55" s="921">
        <f t="shared" si="3"/>
        <v>162.0461072609429</v>
      </c>
    </row>
    <row r="56" spans="1:10" s="428" customFormat="1" ht="13.5" customHeight="1">
      <c r="A56" s="426"/>
      <c r="B56" s="427" t="s">
        <v>46</v>
      </c>
      <c r="C56" s="422"/>
      <c r="D56" s="923"/>
      <c r="E56" s="922">
        <f>E119</f>
        <v>31500</v>
      </c>
      <c r="F56" s="925"/>
      <c r="G56" s="922">
        <f>G55/F55*1000</f>
        <v>39995.059469867003</v>
      </c>
      <c r="H56" s="923"/>
      <c r="I56" s="922">
        <f t="shared" si="3"/>
        <v>8495.0594698670029</v>
      </c>
    </row>
    <row r="57" spans="1:10" s="428" customFormat="1" ht="13.5" customHeight="1">
      <c r="A57" s="426"/>
      <c r="B57" s="424" t="s">
        <v>490</v>
      </c>
      <c r="C57" s="422" t="s">
        <v>12</v>
      </c>
      <c r="D57" s="920">
        <f>D120</f>
        <v>12.493745300204836</v>
      </c>
      <c r="E57" s="921">
        <f>D57*E58/1000</f>
        <v>149.92494360245803</v>
      </c>
      <c r="F57" s="925">
        <f>F120</f>
        <v>27.723600000000001</v>
      </c>
      <c r="G57" s="921">
        <f>G120</f>
        <v>455.70008000000001</v>
      </c>
      <c r="H57" s="920">
        <f t="shared" ref="H57" si="31">F57-D57</f>
        <v>15.229854699795165</v>
      </c>
      <c r="I57" s="921">
        <f t="shared" si="3"/>
        <v>305.77513639754198</v>
      </c>
    </row>
    <row r="58" spans="1:10" s="428" customFormat="1" ht="13.5" customHeight="1">
      <c r="A58" s="426"/>
      <c r="B58" s="427" t="s">
        <v>46</v>
      </c>
      <c r="C58" s="422"/>
      <c r="D58" s="923"/>
      <c r="E58" s="922">
        <f>E121</f>
        <v>12000</v>
      </c>
      <c r="F58" s="925"/>
      <c r="G58" s="922">
        <f>G57/F57*1000</f>
        <v>16437.262116031106</v>
      </c>
      <c r="H58" s="923"/>
      <c r="I58" s="922">
        <f t="shared" si="3"/>
        <v>4437.2621160311064</v>
      </c>
    </row>
    <row r="59" spans="1:10" s="428" customFormat="1" ht="13.5" customHeight="1">
      <c r="A59" s="426"/>
      <c r="B59" s="424" t="str">
        <f>B122</f>
        <v>ОЗИМЫЕ</v>
      </c>
      <c r="C59" s="422" t="s">
        <v>12</v>
      </c>
      <c r="D59" s="920">
        <f>D122</f>
        <v>0</v>
      </c>
      <c r="E59" s="921">
        <f>D59*E60/1000</f>
        <v>0</v>
      </c>
      <c r="F59" s="925">
        <f>F122</f>
        <v>70.14</v>
      </c>
      <c r="G59" s="921">
        <v>610.63026000000002</v>
      </c>
      <c r="H59" s="920">
        <f t="shared" ref="H59" si="32">F59-D59</f>
        <v>70.14</v>
      </c>
      <c r="I59" s="921">
        <f t="shared" ref="I59:I60" si="33">G59-E59</f>
        <v>610.63026000000002</v>
      </c>
    </row>
    <row r="60" spans="1:10" s="428" customFormat="1" ht="13.5" customHeight="1">
      <c r="A60" s="426"/>
      <c r="B60" s="427" t="s">
        <v>46</v>
      </c>
      <c r="C60" s="422"/>
      <c r="D60" s="923"/>
      <c r="E60" s="922">
        <f>E123</f>
        <v>0</v>
      </c>
      <c r="F60" s="925"/>
      <c r="G60" s="922">
        <f>G59/F59*1000</f>
        <v>8705.8776732249789</v>
      </c>
      <c r="H60" s="923"/>
      <c r="I60" s="922">
        <f t="shared" si="33"/>
        <v>8705.8776732249789</v>
      </c>
    </row>
    <row r="61" spans="1:10" s="413" customFormat="1" ht="13.5" customHeight="1">
      <c r="A61" s="423"/>
      <c r="B61" s="424" t="s">
        <v>53</v>
      </c>
      <c r="C61" s="431"/>
      <c r="D61" s="920"/>
      <c r="E61" s="921">
        <f>E124</f>
        <v>0</v>
      </c>
      <c r="F61" s="925"/>
      <c r="G61" s="921">
        <f>139.86685+8.516+1058.8946+788.0417+43</f>
        <v>2038.31915</v>
      </c>
      <c r="H61" s="920"/>
      <c r="I61" s="921">
        <f t="shared" si="1"/>
        <v>2038.31915</v>
      </c>
    </row>
    <row r="62" spans="1:10" s="413" customFormat="1" ht="13.5" customHeight="1">
      <c r="A62" s="423"/>
      <c r="B62" s="424" t="s">
        <v>54</v>
      </c>
      <c r="C62" s="431"/>
      <c r="D62" s="920"/>
      <c r="E62" s="921">
        <f>E125</f>
        <v>4330.5342808326714</v>
      </c>
      <c r="F62" s="925"/>
      <c r="G62" s="921">
        <f>4541.45985-G63</f>
        <v>4377.3578600000001</v>
      </c>
      <c r="H62" s="920"/>
      <c r="I62" s="921">
        <f t="shared" si="1"/>
        <v>46.823579167328717</v>
      </c>
      <c r="J62" s="432"/>
    </row>
    <row r="63" spans="1:10" s="413" customFormat="1" ht="13.5" customHeight="1" thickBot="1">
      <c r="A63" s="423"/>
      <c r="B63" s="433" t="s">
        <v>55</v>
      </c>
      <c r="C63" s="434"/>
      <c r="D63" s="926"/>
      <c r="E63" s="927">
        <f>E126</f>
        <v>432</v>
      </c>
      <c r="F63" s="928"/>
      <c r="G63" s="929">
        <f>62.94895+101.15304</f>
        <v>164.10199</v>
      </c>
      <c r="H63" s="930"/>
      <c r="I63" s="929">
        <f t="shared" si="1"/>
        <v>-267.89801</v>
      </c>
    </row>
    <row r="64" spans="1:10" ht="13.5" customHeight="1" thickBot="1">
      <c r="A64" s="434"/>
      <c r="B64" s="435" t="s">
        <v>56</v>
      </c>
      <c r="C64" s="436"/>
      <c r="D64" s="931"/>
      <c r="E64" s="932">
        <f>SUM(E61:E63,E57,E55,E53,E51,E49,E47,E45,E43,E41,E39,E37,E35,E33,E5)</f>
        <v>735534.34893101873</v>
      </c>
      <c r="F64" s="931"/>
      <c r="G64" s="932">
        <f>SUM(G61:G63,G57,G55,G53,G51,G49,G47,G45,G43,G41,G39,G37,G35,G33,G5,G59)</f>
        <v>721890.90792995633</v>
      </c>
      <c r="H64" s="933"/>
      <c r="I64" s="934">
        <f t="shared" si="1"/>
        <v>-13643.441001062398</v>
      </c>
    </row>
    <row r="65" spans="1:9" ht="12" thickBot="1">
      <c r="A65" s="2335"/>
      <c r="B65" s="2337" t="s">
        <v>41</v>
      </c>
      <c r="C65" s="2339"/>
      <c r="D65" s="2333" t="s">
        <v>42</v>
      </c>
      <c r="E65" s="2334"/>
      <c r="F65" s="2333" t="s">
        <v>43</v>
      </c>
      <c r="G65" s="2334"/>
      <c r="H65" s="2333" t="s">
        <v>17</v>
      </c>
      <c r="I65" s="2334"/>
    </row>
    <row r="66" spans="1:9" ht="24" customHeight="1" thickBot="1">
      <c r="A66" s="2336"/>
      <c r="B66" s="2338"/>
      <c r="C66" s="2340"/>
      <c r="D66" s="913" t="s">
        <v>44</v>
      </c>
      <c r="E66" s="914" t="s">
        <v>45</v>
      </c>
      <c r="F66" s="913" t="s">
        <v>44</v>
      </c>
      <c r="G66" s="914" t="s">
        <v>45</v>
      </c>
      <c r="H66" s="913" t="s">
        <v>44</v>
      </c>
      <c r="I66" s="914" t="s">
        <v>45</v>
      </c>
    </row>
    <row r="67" spans="1:9" ht="11.25">
      <c r="A67" s="416"/>
      <c r="B67" s="417" t="s">
        <v>567</v>
      </c>
      <c r="C67" s="418"/>
      <c r="D67" s="935"/>
      <c r="E67" s="2179"/>
      <c r="F67" s="915"/>
      <c r="G67" s="916"/>
      <c r="H67" s="915"/>
      <c r="I67" s="916"/>
    </row>
    <row r="68" spans="1:9" s="413" customFormat="1" ht="13.5" customHeight="1">
      <c r="A68" s="423"/>
      <c r="B68" s="424" t="s">
        <v>507</v>
      </c>
      <c r="C68" s="420" t="s">
        <v>12</v>
      </c>
      <c r="D68" s="925">
        <f>D70+D82</f>
        <v>1266.9679999999998</v>
      </c>
      <c r="E68" s="2180">
        <f>E70+E82</f>
        <v>329566.11524999992</v>
      </c>
      <c r="F68" s="920">
        <f>F70+F82</f>
        <v>1186.2150502999998</v>
      </c>
      <c r="G68" s="921">
        <f>G70+G82</f>
        <v>312637.33398000005</v>
      </c>
      <c r="H68" s="920">
        <f>F68-D68</f>
        <v>-80.752949700000045</v>
      </c>
      <c r="I68" s="921">
        <f>G68-E68</f>
        <v>-16928.781269999861</v>
      </c>
    </row>
    <row r="69" spans="1:9" s="428" customFormat="1" ht="13.5" customHeight="1">
      <c r="A69" s="426"/>
      <c r="B69" s="427" t="s">
        <v>50</v>
      </c>
      <c r="C69" s="422"/>
      <c r="D69" s="925"/>
      <c r="E69" s="2181">
        <f>E68/D68*1000</f>
        <v>260121.89356795119</v>
      </c>
      <c r="F69" s="923"/>
      <c r="G69" s="922">
        <f>G68/F68*1000</f>
        <v>263558.7315309585</v>
      </c>
      <c r="H69" s="923"/>
      <c r="I69" s="922">
        <f>G69-E69</f>
        <v>3436.8379630073032</v>
      </c>
    </row>
    <row r="70" spans="1:9" s="413" customFormat="1" ht="13.5" customHeight="1">
      <c r="A70" s="423"/>
      <c r="B70" s="424" t="s">
        <v>488</v>
      </c>
      <c r="C70" s="420" t="s">
        <v>12</v>
      </c>
      <c r="D70" s="925">
        <f>D72+D74+D76+D78+D80</f>
        <v>1043.5917499999998</v>
      </c>
      <c r="E70" s="2180">
        <f>E72+E74+E76+E78+E80</f>
        <v>278624.22224999993</v>
      </c>
      <c r="F70" s="920">
        <f>F72+F74+F76+F78+F80</f>
        <v>982.16709329999992</v>
      </c>
      <c r="G70" s="921">
        <f>G72+G74+G76+G78+G80</f>
        <v>265974.72039000003</v>
      </c>
      <c r="H70" s="920">
        <f>F70-D70</f>
        <v>-61.4246566999999</v>
      </c>
      <c r="I70" s="921">
        <f>G70-E70</f>
        <v>-12649.501859999902</v>
      </c>
    </row>
    <row r="71" spans="1:9" s="428" customFormat="1" ht="13.5" customHeight="1">
      <c r="A71" s="426"/>
      <c r="B71" s="427" t="s">
        <v>50</v>
      </c>
      <c r="C71" s="422"/>
      <c r="D71" s="925"/>
      <c r="E71" s="2181">
        <f>E70/D70*1000</f>
        <v>266985.84216481203</v>
      </c>
      <c r="F71" s="923"/>
      <c r="G71" s="922">
        <f>G70/F70*1000</f>
        <v>270803.94181844051</v>
      </c>
      <c r="H71" s="923"/>
      <c r="I71" s="922">
        <f t="shared" ref="I71:I127" si="34">G71-E71</f>
        <v>3818.0996536284802</v>
      </c>
    </row>
    <row r="72" spans="1:9" s="955" customFormat="1" ht="13.5" customHeight="1">
      <c r="A72" s="949"/>
      <c r="B72" s="950" t="s">
        <v>336</v>
      </c>
      <c r="C72" s="951" t="s">
        <v>12</v>
      </c>
      <c r="D72" s="954">
        <f>[1]реализация!D68+[2]реализация!D68</f>
        <v>397.90999999999997</v>
      </c>
      <c r="E72" s="2182">
        <f>[1]реализация!E68+[2]реализация!E68</f>
        <v>108346.42599999999</v>
      </c>
      <c r="F72" s="952">
        <f>436.5510973-F74</f>
        <v>359.72707729999996</v>
      </c>
      <c r="G72" s="953">
        <f>115730.59477-G74</f>
        <v>97451.683569999994</v>
      </c>
      <c r="H72" s="952">
        <f>F72-D72</f>
        <v>-38.182922700000006</v>
      </c>
      <c r="I72" s="953">
        <f>G72-E72</f>
        <v>-10894.742429999998</v>
      </c>
    </row>
    <row r="73" spans="1:9" s="961" customFormat="1" ht="13.5" customHeight="1">
      <c r="A73" s="957"/>
      <c r="B73" s="958" t="s">
        <v>50</v>
      </c>
      <c r="C73" s="959"/>
      <c r="D73" s="954"/>
      <c r="E73" s="2183">
        <f>E72/D72*1000</f>
        <v>272288.77384333138</v>
      </c>
      <c r="F73" s="964"/>
      <c r="G73" s="960">
        <f>G72/F72*1000</f>
        <v>270904.49877012911</v>
      </c>
      <c r="H73" s="964"/>
      <c r="I73" s="960">
        <f t="shared" ref="I73:I83" si="35">G73-E73</f>
        <v>-1384.2750732022687</v>
      </c>
    </row>
    <row r="74" spans="1:9" s="955" customFormat="1" ht="13.5" customHeight="1">
      <c r="A74" s="949"/>
      <c r="B74" s="950" t="s">
        <v>333</v>
      </c>
      <c r="C74" s="951" t="s">
        <v>12</v>
      </c>
      <c r="D74" s="954">
        <f>[1]реализация!D70+[2]реализация!D70</f>
        <v>74.001000000000005</v>
      </c>
      <c r="E74" s="2182">
        <f>[1]реализация!E70+[2]реализация!E70</f>
        <v>18379.984</v>
      </c>
      <c r="F74" s="952">
        <v>76.824020000000004</v>
      </c>
      <c r="G74" s="953">
        <v>18278.911199999999</v>
      </c>
      <c r="H74" s="952">
        <f>F74-D74</f>
        <v>2.8230199999999996</v>
      </c>
      <c r="I74" s="953">
        <f t="shared" si="35"/>
        <v>-101.07280000000173</v>
      </c>
    </row>
    <row r="75" spans="1:9" s="961" customFormat="1" ht="13.5" customHeight="1">
      <c r="A75" s="957"/>
      <c r="B75" s="958" t="s">
        <v>50</v>
      </c>
      <c r="C75" s="959"/>
      <c r="D75" s="954"/>
      <c r="E75" s="2183">
        <f>E74/D74*1000</f>
        <v>248374.80574586827</v>
      </c>
      <c r="F75" s="964"/>
      <c r="G75" s="960">
        <f>G74/F74*1000</f>
        <v>237932.24046333422</v>
      </c>
      <c r="H75" s="964"/>
      <c r="I75" s="960">
        <f t="shared" si="35"/>
        <v>-10442.565282534051</v>
      </c>
    </row>
    <row r="76" spans="1:9" s="955" customFormat="1" ht="13.5" customHeight="1">
      <c r="A76" s="949"/>
      <c r="B76" s="950" t="s">
        <v>332</v>
      </c>
      <c r="C76" s="951" t="s">
        <v>12</v>
      </c>
      <c r="D76" s="954">
        <f>[1]реализация!D72+[2]реализация!D72</f>
        <v>394.5</v>
      </c>
      <c r="E76" s="2182">
        <f>[1]реализация!E72+[2]реализация!E72</f>
        <v>113239.624</v>
      </c>
      <c r="F76" s="952">
        <v>367.94535100000002</v>
      </c>
      <c r="G76" s="953">
        <v>109202.14765</v>
      </c>
      <c r="H76" s="952">
        <f>F76-D76</f>
        <v>-26.554648999999984</v>
      </c>
      <c r="I76" s="953">
        <f t="shared" si="35"/>
        <v>-4037.4763499999972</v>
      </c>
    </row>
    <row r="77" spans="1:9" s="961" customFormat="1" ht="13.5" customHeight="1">
      <c r="A77" s="957"/>
      <c r="B77" s="958" t="s">
        <v>50</v>
      </c>
      <c r="C77" s="959"/>
      <c r="D77" s="954"/>
      <c r="E77" s="2183">
        <f>E76/D76*1000</f>
        <v>287045.94169835234</v>
      </c>
      <c r="F77" s="964"/>
      <c r="G77" s="960">
        <f>G76/F76*1000</f>
        <v>296789.04041921155</v>
      </c>
      <c r="H77" s="964"/>
      <c r="I77" s="960">
        <f t="shared" si="35"/>
        <v>9743.0987208592123</v>
      </c>
    </row>
    <row r="78" spans="1:9" s="955" customFormat="1" ht="13.5" customHeight="1">
      <c r="A78" s="949"/>
      <c r="B78" s="950" t="s">
        <v>334</v>
      </c>
      <c r="C78" s="951" t="s">
        <v>12</v>
      </c>
      <c r="D78" s="954">
        <f>[1]реализация!D74+[2]реализация!D74</f>
        <v>102.10475</v>
      </c>
      <c r="E78" s="2182">
        <f>[1]реализация!E74+[2]реализация!E74</f>
        <v>29014.180250000001</v>
      </c>
      <c r="F78" s="952">
        <v>87.896090000000001</v>
      </c>
      <c r="G78" s="953">
        <v>25495.239590000001</v>
      </c>
      <c r="H78" s="952">
        <f>F78-D78</f>
        <v>-14.208659999999995</v>
      </c>
      <c r="I78" s="953">
        <f t="shared" si="35"/>
        <v>-3518.9406600000002</v>
      </c>
    </row>
    <row r="79" spans="1:9" s="961" customFormat="1" ht="13.5" customHeight="1">
      <c r="A79" s="957"/>
      <c r="B79" s="958" t="s">
        <v>50</v>
      </c>
      <c r="C79" s="959"/>
      <c r="D79" s="954"/>
      <c r="E79" s="2183">
        <f>E78/D78*1000</f>
        <v>284160.92542217678</v>
      </c>
      <c r="F79" s="964"/>
      <c r="G79" s="960">
        <f>G78/F78*1000</f>
        <v>290061.13457379048</v>
      </c>
      <c r="H79" s="964"/>
      <c r="I79" s="960">
        <f t="shared" si="35"/>
        <v>5900.2091516137007</v>
      </c>
    </row>
    <row r="80" spans="1:9" s="955" customFormat="1" ht="13.5" customHeight="1">
      <c r="A80" s="949"/>
      <c r="B80" s="950" t="s">
        <v>335</v>
      </c>
      <c r="C80" s="951" t="s">
        <v>12</v>
      </c>
      <c r="D80" s="954">
        <f>[1]реализация!D76+[2]реализация!D76</f>
        <v>75.076000000000008</v>
      </c>
      <c r="E80" s="2182">
        <f>[1]реализация!E76+[2]реализация!E76</f>
        <v>9644.0079999999998</v>
      </c>
      <c r="F80" s="952">
        <f>71.519873+18.254682</f>
        <v>89.774555000000007</v>
      </c>
      <c r="G80" s="953">
        <f>10696.74069+4849.99769</f>
        <v>15546.738380000001</v>
      </c>
      <c r="H80" s="952">
        <f>F80-D80</f>
        <v>14.698554999999999</v>
      </c>
      <c r="I80" s="953">
        <f t="shared" si="35"/>
        <v>5902.7303800000009</v>
      </c>
    </row>
    <row r="81" spans="1:10" s="961" customFormat="1" ht="13.5" customHeight="1">
      <c r="A81" s="957"/>
      <c r="B81" s="958" t="s">
        <v>50</v>
      </c>
      <c r="C81" s="959"/>
      <c r="D81" s="954"/>
      <c r="E81" s="2183">
        <f>E80/D80*1000</f>
        <v>128456.60397463902</v>
      </c>
      <c r="F81" s="964"/>
      <c r="G81" s="960">
        <f>G80/F80*1000</f>
        <v>173175.33214171877</v>
      </c>
      <c r="H81" s="964"/>
      <c r="I81" s="960">
        <f t="shared" si="35"/>
        <v>44718.728167079753</v>
      </c>
    </row>
    <row r="82" spans="1:10" s="413" customFormat="1" ht="13.5" customHeight="1">
      <c r="A82" s="423"/>
      <c r="B82" s="424" t="s">
        <v>489</v>
      </c>
      <c r="C82" s="420" t="s">
        <v>12</v>
      </c>
      <c r="D82" s="925">
        <f>D84+D86+D90+D94+D88+D92</f>
        <v>223.37625</v>
      </c>
      <c r="E82" s="2184">
        <f>E84+E86+E90+E94+E88+E92</f>
        <v>50941.893000000004</v>
      </c>
      <c r="F82" s="920">
        <f>F84+F86+F90+F94+F88+F92</f>
        <v>204.047957</v>
      </c>
      <c r="G82" s="921">
        <f>G84+G86+G90+G94+G88+G92</f>
        <v>46662.613590000001</v>
      </c>
      <c r="H82" s="920">
        <f>F82-D82</f>
        <v>-19.328293000000002</v>
      </c>
      <c r="I82" s="921">
        <f t="shared" si="35"/>
        <v>-4279.2794100000028</v>
      </c>
      <c r="J82" s="425"/>
    </row>
    <row r="83" spans="1:10" s="428" customFormat="1" ht="13.5" customHeight="1">
      <c r="A83" s="426"/>
      <c r="B83" s="427" t="s">
        <v>50</v>
      </c>
      <c r="C83" s="422"/>
      <c r="D83" s="925"/>
      <c r="E83" s="2181">
        <f>E82/D82*1000</f>
        <v>228054.20450920815</v>
      </c>
      <c r="F83" s="920"/>
      <c r="G83" s="922">
        <f>G82/F82*1000</f>
        <v>228684.54198735254</v>
      </c>
      <c r="H83" s="923"/>
      <c r="I83" s="922">
        <f t="shared" si="35"/>
        <v>630.33747814438539</v>
      </c>
    </row>
    <row r="84" spans="1:10" s="955" customFormat="1" ht="13.5" customHeight="1">
      <c r="A84" s="949"/>
      <c r="B84" s="950" t="s">
        <v>533</v>
      </c>
      <c r="C84" s="951" t="s">
        <v>12</v>
      </c>
      <c r="D84" s="954">
        <f>[1]реализация!D80+[2]реализация!D80</f>
        <v>45.494249999999994</v>
      </c>
      <c r="E84" s="2182">
        <f>[1]реализация!E80+[2]реализация!E80</f>
        <v>14573.201499999999</v>
      </c>
      <c r="F84" s="952">
        <f>204.047957-F86-F88-F90-F92-F94</f>
        <v>40.233177000000005</v>
      </c>
      <c r="G84" s="954">
        <f>46662.61359-G86-G88-G90-G92-G94</f>
        <v>13047.975939999998</v>
      </c>
      <c r="H84" s="952">
        <f>F84-D84</f>
        <v>-5.261072999999989</v>
      </c>
      <c r="I84" s="953">
        <f t="shared" si="34"/>
        <v>-1525.2255600000008</v>
      </c>
      <c r="J84" s="956"/>
    </row>
    <row r="85" spans="1:10" s="961" customFormat="1" ht="13.5" customHeight="1">
      <c r="A85" s="957"/>
      <c r="B85" s="958" t="s">
        <v>50</v>
      </c>
      <c r="C85" s="959"/>
      <c r="D85" s="954"/>
      <c r="E85" s="2183">
        <f>E84/D84*1000</f>
        <v>320330.62419976154</v>
      </c>
      <c r="F85" s="952"/>
      <c r="G85" s="960">
        <f>G84/F84*1000</f>
        <v>324308.86429873528</v>
      </c>
      <c r="H85" s="964"/>
      <c r="I85" s="960">
        <f t="shared" si="34"/>
        <v>3978.2400989737362</v>
      </c>
    </row>
    <row r="86" spans="1:10" s="955" customFormat="1" ht="13.5" customHeight="1">
      <c r="A86" s="949"/>
      <c r="B86" s="950" t="s">
        <v>345</v>
      </c>
      <c r="C86" s="951" t="s">
        <v>12</v>
      </c>
      <c r="D86" s="954">
        <f>[1]реализация!D82+[2]реализация!D82</f>
        <v>66.668000000000006</v>
      </c>
      <c r="E86" s="2182">
        <f>[1]реализация!E82+[2]реализация!E82</f>
        <v>13695.140500000001</v>
      </c>
      <c r="F86" s="952">
        <v>51.56026</v>
      </c>
      <c r="G86" s="953">
        <v>10940.601790000001</v>
      </c>
      <c r="H86" s="952">
        <f>F86-D86</f>
        <v>-15.107740000000007</v>
      </c>
      <c r="I86" s="953">
        <f t="shared" si="34"/>
        <v>-2754.5387100000007</v>
      </c>
    </row>
    <row r="87" spans="1:10" s="961" customFormat="1" ht="13.5" customHeight="1">
      <c r="A87" s="957"/>
      <c r="B87" s="958" t="s">
        <v>50</v>
      </c>
      <c r="C87" s="959"/>
      <c r="D87" s="954"/>
      <c r="E87" s="2183">
        <f>E86/D86*1000</f>
        <v>205422.9990400192</v>
      </c>
      <c r="F87" s="952"/>
      <c r="G87" s="960">
        <f>G86/F86*1000</f>
        <v>212190.58612194745</v>
      </c>
      <c r="H87" s="964"/>
      <c r="I87" s="960">
        <f t="shared" si="34"/>
        <v>6767.5870819282427</v>
      </c>
    </row>
    <row r="88" spans="1:10" s="955" customFormat="1" ht="13.5" customHeight="1">
      <c r="A88" s="949"/>
      <c r="B88" s="950" t="s">
        <v>361</v>
      </c>
      <c r="C88" s="951" t="s">
        <v>12</v>
      </c>
      <c r="D88" s="954">
        <f>[1]реализация!D84+[2]реализация!D84</f>
        <v>30.951499999999999</v>
      </c>
      <c r="E88" s="2182">
        <f>[1]реализация!E84+[2]реализация!E84</f>
        <v>4828.4340000000002</v>
      </c>
      <c r="F88" s="952">
        <v>27.006599999999999</v>
      </c>
      <c r="G88" s="953">
        <v>4246.7285000000002</v>
      </c>
      <c r="H88" s="952">
        <f>F88-D88</f>
        <v>-3.9449000000000005</v>
      </c>
      <c r="I88" s="953">
        <f>G88-E88</f>
        <v>-581.70550000000003</v>
      </c>
    </row>
    <row r="89" spans="1:10" s="961" customFormat="1" ht="13.5" customHeight="1">
      <c r="A89" s="957"/>
      <c r="B89" s="958" t="s">
        <v>50</v>
      </c>
      <c r="C89" s="959"/>
      <c r="D89" s="954"/>
      <c r="E89" s="2183">
        <f>E88/D88*1000</f>
        <v>156000</v>
      </c>
      <c r="F89" s="952"/>
      <c r="G89" s="960">
        <f>G88/F88*1000</f>
        <v>157247.80238904565</v>
      </c>
      <c r="H89" s="964"/>
      <c r="I89" s="960">
        <f>G89-E89</f>
        <v>1247.8023890456534</v>
      </c>
    </row>
    <row r="90" spans="1:10" s="955" customFormat="1" ht="13.5" customHeight="1">
      <c r="A90" s="949"/>
      <c r="B90" s="950" t="s">
        <v>318</v>
      </c>
      <c r="C90" s="951" t="s">
        <v>12</v>
      </c>
      <c r="D90" s="954">
        <f>[1]реализация!D86+[2]реализация!D86</f>
        <v>42.396000000000001</v>
      </c>
      <c r="E90" s="2182">
        <f>[1]реализация!E86+[2]реализация!E86</f>
        <v>6592.2375000000002</v>
      </c>
      <c r="F90" s="952">
        <v>42.189100000000003</v>
      </c>
      <c r="G90" s="953">
        <v>6624.4636799999998</v>
      </c>
      <c r="H90" s="952">
        <f>F90-D90</f>
        <v>-0.20689999999999742</v>
      </c>
      <c r="I90" s="953">
        <f t="shared" si="34"/>
        <v>32.226179999999658</v>
      </c>
    </row>
    <row r="91" spans="1:10" s="961" customFormat="1" ht="13.5" customHeight="1">
      <c r="A91" s="957"/>
      <c r="B91" s="958" t="s">
        <v>50</v>
      </c>
      <c r="C91" s="959"/>
      <c r="D91" s="954"/>
      <c r="E91" s="2183">
        <f>E90/D90*1000</f>
        <v>155491.96858194171</v>
      </c>
      <c r="F91" s="952"/>
      <c r="G91" s="960">
        <f>G90/F90*1000</f>
        <v>157018.3691996274</v>
      </c>
      <c r="H91" s="964"/>
      <c r="I91" s="960">
        <f t="shared" si="34"/>
        <v>1526.4006176856929</v>
      </c>
    </row>
    <row r="92" spans="1:10" s="961" customFormat="1" ht="13.5" customHeight="1">
      <c r="A92" s="957"/>
      <c r="B92" s="963" t="s">
        <v>562</v>
      </c>
      <c r="C92" s="959"/>
      <c r="D92" s="954"/>
      <c r="E92" s="2183"/>
      <c r="F92" s="952">
        <v>10.5305</v>
      </c>
      <c r="G92" s="953">
        <v>2176.5510100000001</v>
      </c>
      <c r="H92" s="952">
        <f>F92-D92</f>
        <v>10.5305</v>
      </c>
      <c r="I92" s="953">
        <f t="shared" ref="I92:I93" si="36">G92-E92</f>
        <v>2176.5510100000001</v>
      </c>
    </row>
    <row r="93" spans="1:10" s="961" customFormat="1" ht="13.5" customHeight="1">
      <c r="A93" s="957"/>
      <c r="B93" s="958" t="s">
        <v>50</v>
      </c>
      <c r="C93" s="959"/>
      <c r="D93" s="954"/>
      <c r="E93" s="2183"/>
      <c r="F93" s="952"/>
      <c r="G93" s="960">
        <f>G92/F92*1000</f>
        <v>206690.18660082619</v>
      </c>
      <c r="H93" s="964"/>
      <c r="I93" s="960">
        <f t="shared" si="36"/>
        <v>206690.18660082619</v>
      </c>
    </row>
    <row r="94" spans="1:10" s="955" customFormat="1" ht="13.5" customHeight="1">
      <c r="A94" s="949"/>
      <c r="B94" s="950" t="s">
        <v>319</v>
      </c>
      <c r="C94" s="951" t="s">
        <v>12</v>
      </c>
      <c r="D94" s="954">
        <f>[1]реализация!D88+[2]реализация!D88</f>
        <v>37.866500000000002</v>
      </c>
      <c r="E94" s="2182">
        <f>[1]реализация!E88+[2]реализация!E88</f>
        <v>11252.879499999999</v>
      </c>
      <c r="F94" s="952">
        <v>32.528320000000001</v>
      </c>
      <c r="G94" s="953">
        <v>9626.2926700000007</v>
      </c>
      <c r="H94" s="952">
        <f>F94-D94</f>
        <v>-5.3381800000000013</v>
      </c>
      <c r="I94" s="953">
        <f t="shared" si="34"/>
        <v>-1626.5868299999984</v>
      </c>
    </row>
    <row r="95" spans="1:10" s="961" customFormat="1" ht="13.5" customHeight="1">
      <c r="A95" s="957"/>
      <c r="B95" s="958" t="s">
        <v>50</v>
      </c>
      <c r="C95" s="959"/>
      <c r="D95" s="954"/>
      <c r="E95" s="2183">
        <f>E94/D94*1000</f>
        <v>297172.42153354542</v>
      </c>
      <c r="F95" s="952"/>
      <c r="G95" s="960">
        <f>G94/F94*1000</f>
        <v>295935.74675851694</v>
      </c>
      <c r="H95" s="964"/>
      <c r="I95" s="960">
        <f t="shared" si="34"/>
        <v>-1236.6747750284849</v>
      </c>
    </row>
    <row r="96" spans="1:10" s="961" customFormat="1" ht="13.5" customHeight="1">
      <c r="A96" s="957"/>
      <c r="B96" s="424" t="s">
        <v>514</v>
      </c>
      <c r="C96" s="951" t="s">
        <v>12</v>
      </c>
      <c r="D96" s="954">
        <f>[1]реализация!D90+[2]реализация!D90</f>
        <v>1702.6933043274373</v>
      </c>
      <c r="E96" s="2182">
        <f>[1]реализация!E90+[2]реализация!E90</f>
        <v>254287.45881053427</v>
      </c>
      <c r="F96" s="952">
        <v>1660.9318499999999</v>
      </c>
      <c r="G96" s="953">
        <v>256164.81580000001</v>
      </c>
      <c r="H96" s="952">
        <f>F96-D96</f>
        <v>-41.761454327437377</v>
      </c>
      <c r="I96" s="953">
        <f t="shared" ref="I96:I97" si="37">G96-E96</f>
        <v>1877.3569894657412</v>
      </c>
    </row>
    <row r="97" spans="1:9" s="961" customFormat="1" ht="13.5" customHeight="1">
      <c r="A97" s="957"/>
      <c r="B97" s="427" t="s">
        <v>50</v>
      </c>
      <c r="C97" s="959"/>
      <c r="D97" s="954"/>
      <c r="E97" s="2183">
        <f>E96/D96*1000</f>
        <v>149344.25252290379</v>
      </c>
      <c r="F97" s="952"/>
      <c r="G97" s="960">
        <f>G96/F96*1000</f>
        <v>154229.57648743989</v>
      </c>
      <c r="H97" s="964"/>
      <c r="I97" s="960">
        <f t="shared" si="37"/>
        <v>4885.3239645361027</v>
      </c>
    </row>
    <row r="98" spans="1:9" s="413" customFormat="1" ht="13.5" customHeight="1">
      <c r="A98" s="423"/>
      <c r="B98" s="424" t="s">
        <v>513</v>
      </c>
      <c r="C98" s="951" t="s">
        <v>12</v>
      </c>
      <c r="D98" s="954">
        <f>[1]реализация!D92+[2]реализация!D92</f>
        <v>169.64999999999998</v>
      </c>
      <c r="E98" s="2182">
        <f>[1]реализация!E92+[2]реализация!E92</f>
        <v>37166.207147437504</v>
      </c>
      <c r="F98" s="920">
        <v>148.42791</v>
      </c>
      <c r="G98" s="921">
        <v>31676.203109999999</v>
      </c>
      <c r="H98" s="920">
        <f>F98-D98</f>
        <v>-21.22208999999998</v>
      </c>
      <c r="I98" s="921">
        <f t="shared" si="34"/>
        <v>-5490.0040374375058</v>
      </c>
    </row>
    <row r="99" spans="1:9" s="428" customFormat="1" ht="13.5" customHeight="1">
      <c r="A99" s="426"/>
      <c r="B99" s="427" t="s">
        <v>50</v>
      </c>
      <c r="C99" s="959"/>
      <c r="D99" s="925"/>
      <c r="E99" s="2181">
        <f>E98/D98*1000</f>
        <v>219075.78630968175</v>
      </c>
      <c r="F99" s="923"/>
      <c r="G99" s="922">
        <f>G98/F98*1000</f>
        <v>213411.36656845736</v>
      </c>
      <c r="H99" s="923"/>
      <c r="I99" s="922">
        <f t="shared" si="34"/>
        <v>-5664.4197412243811</v>
      </c>
    </row>
    <row r="100" spans="1:9" s="428" customFormat="1" ht="13.5" customHeight="1">
      <c r="A100" s="426"/>
      <c r="B100" s="424" t="s">
        <v>522</v>
      </c>
      <c r="C100" s="951" t="s">
        <v>12</v>
      </c>
      <c r="D100" s="954">
        <f>[1]реализация!D94+[2]реализация!D94</f>
        <v>15.620854658016999</v>
      </c>
      <c r="E100" s="2182">
        <f>[1]реализация!E94+[2]реализация!E94</f>
        <v>1249.6683726413596</v>
      </c>
      <c r="F100" s="920">
        <f>28.94538+3.104163+0.09144</f>
        <v>32.140982999999999</v>
      </c>
      <c r="G100" s="921">
        <f>5759.1469+383.8163+44.58</f>
        <v>6187.5432000000001</v>
      </c>
      <c r="H100" s="952">
        <f>F100-D100</f>
        <v>16.520128341983</v>
      </c>
      <c r="I100" s="953">
        <f t="shared" ref="I100:I101" si="38">G100-E100</f>
        <v>4937.8748273586407</v>
      </c>
    </row>
    <row r="101" spans="1:9" s="428" customFormat="1" ht="13.5" customHeight="1">
      <c r="A101" s="426"/>
      <c r="B101" s="427" t="s">
        <v>50</v>
      </c>
      <c r="C101" s="959"/>
      <c r="D101" s="925"/>
      <c r="E101" s="2181">
        <f>E100/D100*1000</f>
        <v>79999.999999999985</v>
      </c>
      <c r="F101" s="923"/>
      <c r="G101" s="922">
        <f>G100/F100*1000</f>
        <v>192512.56876617621</v>
      </c>
      <c r="H101" s="964"/>
      <c r="I101" s="960">
        <f t="shared" si="38"/>
        <v>112512.56876617622</v>
      </c>
    </row>
    <row r="102" spans="1:9" s="413" customFormat="1" ht="13.5" customHeight="1">
      <c r="A102" s="423"/>
      <c r="B102" s="424" t="s">
        <v>515</v>
      </c>
      <c r="C102" s="951" t="s">
        <v>12</v>
      </c>
      <c r="D102" s="954">
        <f>[1]реализация!D96+[2]реализация!D96</f>
        <v>4.3494639496803043</v>
      </c>
      <c r="E102" s="2182">
        <f>[1]реализация!E96+[2]реализация!E96</f>
        <v>652.41959245204566</v>
      </c>
      <c r="F102" s="920">
        <v>10.592890000000001</v>
      </c>
      <c r="G102" s="921">
        <v>1795.14177</v>
      </c>
      <c r="H102" s="920">
        <f>F102-D102</f>
        <v>6.2434260503196963</v>
      </c>
      <c r="I102" s="921">
        <f>G102-E102</f>
        <v>1142.7221775479543</v>
      </c>
    </row>
    <row r="103" spans="1:9" s="428" customFormat="1" ht="13.5" customHeight="1">
      <c r="A103" s="426"/>
      <c r="B103" s="427" t="s">
        <v>50</v>
      </c>
      <c r="C103" s="959"/>
      <c r="D103" s="925"/>
      <c r="E103" s="2181">
        <f>E102/D102*1000</f>
        <v>150000</v>
      </c>
      <c r="F103" s="923"/>
      <c r="G103" s="922">
        <f>G102/F102*1000</f>
        <v>169466.66773656668</v>
      </c>
      <c r="H103" s="923"/>
      <c r="I103" s="922">
        <f>G103-E103</f>
        <v>19466.667736566684</v>
      </c>
    </row>
    <row r="104" spans="1:9" s="413" customFormat="1" ht="13.5" customHeight="1">
      <c r="A104" s="423"/>
      <c r="B104" s="424" t="s">
        <v>47</v>
      </c>
      <c r="C104" s="420" t="s">
        <v>12</v>
      </c>
      <c r="D104" s="954">
        <f>[1]реализация!D98+[2]реализация!D98</f>
        <v>142.49350486535047</v>
      </c>
      <c r="E104" s="2182">
        <f>[1]реализация!E98+[2]реализация!E98</f>
        <v>8172.6211582971519</v>
      </c>
      <c r="F104" s="920">
        <f>2.20609+63.77522+5.62548+159.82329</f>
        <v>231.43007999999998</v>
      </c>
      <c r="G104" s="921">
        <f>590.24114+7076.7817+835.75366+5760.09435</f>
        <v>14262.870849999999</v>
      </c>
      <c r="H104" s="920">
        <f>F104-D104</f>
        <v>88.936575134649502</v>
      </c>
      <c r="I104" s="921">
        <f t="shared" si="34"/>
        <v>6090.2496917028475</v>
      </c>
    </row>
    <row r="105" spans="1:9" s="428" customFormat="1" ht="13.5" customHeight="1">
      <c r="A105" s="426"/>
      <c r="B105" s="427" t="s">
        <v>50</v>
      </c>
      <c r="C105" s="422"/>
      <c r="D105" s="925"/>
      <c r="E105" s="2183">
        <f>E104/D104*1000</f>
        <v>57354.341631359879</v>
      </c>
      <c r="F105" s="923"/>
      <c r="G105" s="922">
        <f>G104/F104*1000</f>
        <v>61629.287126375282</v>
      </c>
      <c r="H105" s="923"/>
      <c r="I105" s="922">
        <f t="shared" si="34"/>
        <v>4274.9454950154031</v>
      </c>
    </row>
    <row r="106" spans="1:9" s="413" customFormat="1" ht="13.5" customHeight="1">
      <c r="A106" s="423"/>
      <c r="B106" s="424" t="s">
        <v>48</v>
      </c>
      <c r="C106" s="420" t="s">
        <v>12</v>
      </c>
      <c r="D106" s="954">
        <f>[1]реализация!D100+[2]реализация!D100</f>
        <v>103.79055128998793</v>
      </c>
      <c r="E106" s="2182">
        <f>[1]реализация!E100+[2]реализация!E100</f>
        <v>8070.8526955391771</v>
      </c>
      <c r="F106" s="920">
        <f>49.377+0.35765+33.114</f>
        <v>82.848649999999992</v>
      </c>
      <c r="G106" s="921">
        <f>5152.495+13.53205+1791.695</f>
        <v>6957.7220499999994</v>
      </c>
      <c r="H106" s="920">
        <f>F106-D106</f>
        <v>-20.941901289987939</v>
      </c>
      <c r="I106" s="921">
        <f t="shared" si="34"/>
        <v>-1113.1306455391777</v>
      </c>
    </row>
    <row r="107" spans="1:9" s="428" customFormat="1" ht="13.5" customHeight="1">
      <c r="A107" s="426"/>
      <c r="B107" s="427" t="s">
        <v>50</v>
      </c>
      <c r="C107" s="422"/>
      <c r="D107" s="925"/>
      <c r="E107" s="2183">
        <f>E106/D106*1000</f>
        <v>77760.957960319894</v>
      </c>
      <c r="F107" s="923"/>
      <c r="G107" s="922">
        <f>G106/F106*1000</f>
        <v>83981.115564345338</v>
      </c>
      <c r="H107" s="923"/>
      <c r="I107" s="922">
        <f t="shared" si="34"/>
        <v>6220.157604025444</v>
      </c>
    </row>
    <row r="108" spans="1:9" s="413" customFormat="1" ht="13.5" customHeight="1">
      <c r="A108" s="423"/>
      <c r="B108" s="424" t="s">
        <v>49</v>
      </c>
      <c r="C108" s="420" t="s">
        <v>12</v>
      </c>
      <c r="D108" s="954">
        <f>[1]реализация!D102+[2]реализация!D102</f>
        <v>11.052495282443928</v>
      </c>
      <c r="E108" s="2182">
        <f>[1]реализация!E102+[2]реализация!E102</f>
        <v>3903.879742473307</v>
      </c>
      <c r="F108" s="920">
        <f>0.64954+5.49225</f>
        <v>6.1417900000000003</v>
      </c>
      <c r="G108" s="921">
        <f>290.9618+1854.37792</f>
        <v>2145.3397199999999</v>
      </c>
      <c r="H108" s="920">
        <f>F108-D108</f>
        <v>-4.9107052824439279</v>
      </c>
      <c r="I108" s="921">
        <f>G108-E108</f>
        <v>-1758.5400224733071</v>
      </c>
    </row>
    <row r="109" spans="1:9" s="428" customFormat="1" ht="13.5" customHeight="1">
      <c r="A109" s="426"/>
      <c r="B109" s="427" t="s">
        <v>50</v>
      </c>
      <c r="C109" s="422"/>
      <c r="D109" s="925"/>
      <c r="E109" s="2181">
        <f>E108/D108*1000</f>
        <v>353212.52284760814</v>
      </c>
      <c r="F109" s="923"/>
      <c r="G109" s="922">
        <f>G108/F108*1000</f>
        <v>349302.03084117168</v>
      </c>
      <c r="H109" s="923"/>
      <c r="I109" s="922">
        <f>G109-E109</f>
        <v>-3910.492006436456</v>
      </c>
    </row>
    <row r="110" spans="1:9" s="413" customFormat="1" ht="13.5" customHeight="1">
      <c r="A110" s="423"/>
      <c r="B110" s="424" t="s">
        <v>596</v>
      </c>
      <c r="C110" s="420" t="s">
        <v>12</v>
      </c>
      <c r="D110" s="954">
        <f>[1]реализация!D104+[2]реализация!D104</f>
        <v>677.63499999999999</v>
      </c>
      <c r="E110" s="2182">
        <f>[1]реализация!E104+[2]реализация!E104</f>
        <v>16925.994999999999</v>
      </c>
      <c r="F110" s="920">
        <v>623.37063999999998</v>
      </c>
      <c r="G110" s="921">
        <v>15460.095009999999</v>
      </c>
      <c r="H110" s="920">
        <f>F110-D110</f>
        <v>-54.264360000000011</v>
      </c>
      <c r="I110" s="921">
        <f t="shared" si="34"/>
        <v>-1465.8999899999999</v>
      </c>
    </row>
    <row r="111" spans="1:9" s="428" customFormat="1" ht="13.5" customHeight="1">
      <c r="A111" s="426"/>
      <c r="B111" s="427" t="s">
        <v>50</v>
      </c>
      <c r="C111" s="422"/>
      <c r="D111" s="925"/>
      <c r="E111" s="2181">
        <f>E110/D110*1000</f>
        <v>24978.041275908119</v>
      </c>
      <c r="F111" s="923"/>
      <c r="G111" s="922">
        <f>G110/F110*1000</f>
        <v>24800.807124955387</v>
      </c>
      <c r="H111" s="923"/>
      <c r="I111" s="922">
        <f t="shared" si="34"/>
        <v>-177.23415095273231</v>
      </c>
    </row>
    <row r="112" spans="1:9" s="413" customFormat="1" ht="13.5" customHeight="1">
      <c r="A112" s="423"/>
      <c r="B112" s="424" t="s">
        <v>674</v>
      </c>
      <c r="C112" s="420" t="s">
        <v>12</v>
      </c>
      <c r="D112" s="954">
        <f>[1]реализация!D106+[2]реализация!D106</f>
        <v>1.2769999999999999</v>
      </c>
      <c r="E112" s="2182">
        <f>[1]реализация!E106+[2]реализация!E106</f>
        <v>38.31</v>
      </c>
      <c r="F112" s="920">
        <f>0.53+37*0.00233</f>
        <v>0.61621000000000004</v>
      </c>
      <c r="G112" s="921">
        <f>29.15+2.59</f>
        <v>31.74</v>
      </c>
      <c r="H112" s="920">
        <f>F112-D112</f>
        <v>-0.66078999999999988</v>
      </c>
      <c r="I112" s="921">
        <f>G112-E112</f>
        <v>-6.5700000000000038</v>
      </c>
    </row>
    <row r="113" spans="1:9" s="428" customFormat="1" ht="13.5" customHeight="1">
      <c r="A113" s="426"/>
      <c r="B113" s="427" t="s">
        <v>50</v>
      </c>
      <c r="C113" s="422"/>
      <c r="D113" s="925"/>
      <c r="E113" s="2181">
        <f>E112/D112*1000</f>
        <v>30000.000000000004</v>
      </c>
      <c r="F113" s="923"/>
      <c r="G113" s="922">
        <f>G112/F112*1000</f>
        <v>51508.414339267452</v>
      </c>
      <c r="H113" s="923"/>
      <c r="I113" s="922">
        <f>G113-E113</f>
        <v>21508.414339267449</v>
      </c>
    </row>
    <row r="114" spans="1:9" s="413" customFormat="1" ht="13.5" customHeight="1">
      <c r="A114" s="423"/>
      <c r="B114" s="424" t="s">
        <v>673</v>
      </c>
      <c r="C114" s="420" t="s">
        <v>675</v>
      </c>
      <c r="D114" s="954">
        <f>[1]реализация!D108+[2]реализация!D108</f>
        <v>0</v>
      </c>
      <c r="E114" s="2182">
        <f>[1]реализация!E108+[2]реализация!E108</f>
        <v>0</v>
      </c>
      <c r="F114" s="920">
        <v>51.838000000000001</v>
      </c>
      <c r="G114" s="921">
        <v>5868.5169999999998</v>
      </c>
      <c r="H114" s="920">
        <f>F114-D114</f>
        <v>51.838000000000001</v>
      </c>
      <c r="I114" s="921">
        <f>G114-E114</f>
        <v>5868.5169999999998</v>
      </c>
    </row>
    <row r="115" spans="1:9" s="428" customFormat="1" ht="13.5" customHeight="1">
      <c r="A115" s="426"/>
      <c r="B115" s="427" t="s">
        <v>50</v>
      </c>
      <c r="C115" s="422"/>
      <c r="D115" s="925"/>
      <c r="E115" s="2181" t="e">
        <f>E114/D114*1000</f>
        <v>#DIV/0!</v>
      </c>
      <c r="F115" s="923"/>
      <c r="G115" s="922">
        <f>G114/F114*1000</f>
        <v>113208.78506115204</v>
      </c>
      <c r="H115" s="923"/>
      <c r="I115" s="922" t="e">
        <f>G115-E115</f>
        <v>#DIV/0!</v>
      </c>
    </row>
    <row r="116" spans="1:9" s="413" customFormat="1" ht="23.25" customHeight="1">
      <c r="A116" s="423"/>
      <c r="B116" s="430" t="s">
        <v>51</v>
      </c>
      <c r="C116" s="420" t="s">
        <v>12</v>
      </c>
      <c r="D116" s="954">
        <f>[1]реализация!D110+[2]реализация!D110</f>
        <v>926.1</v>
      </c>
      <c r="E116" s="2182">
        <f>[1]реализация!E110+[2]реализация!E110</f>
        <v>91292.292000000001</v>
      </c>
      <c r="F116" s="920">
        <v>1089.154</v>
      </c>
      <c r="G116" s="921">
        <v>108093.561</v>
      </c>
      <c r="H116" s="920">
        <f>F116-D116</f>
        <v>163.05399999999997</v>
      </c>
      <c r="I116" s="921">
        <f t="shared" si="34"/>
        <v>16801.269</v>
      </c>
    </row>
    <row r="117" spans="1:9" s="428" customFormat="1" ht="13.5" customHeight="1">
      <c r="A117" s="426"/>
      <c r="B117" s="427" t="s">
        <v>50</v>
      </c>
      <c r="C117" s="422"/>
      <c r="D117" s="925"/>
      <c r="E117" s="2181">
        <f>E116/D116*1000</f>
        <v>98577.142857142855</v>
      </c>
      <c r="F117" s="923"/>
      <c r="G117" s="922">
        <f>G116/F116*1000</f>
        <v>99245.433611775748</v>
      </c>
      <c r="H117" s="923"/>
      <c r="I117" s="922">
        <f t="shared" si="34"/>
        <v>668.29075463289337</v>
      </c>
    </row>
    <row r="118" spans="1:9" s="413" customFormat="1" ht="13.5" customHeight="1">
      <c r="A118" s="423"/>
      <c r="B118" s="424" t="s">
        <v>52</v>
      </c>
      <c r="C118" s="420" t="s">
        <v>12</v>
      </c>
      <c r="D118" s="954">
        <f>[1]реализация!D112+[2]реализация!D112</f>
        <v>21.840002944097051</v>
      </c>
      <c r="E118" s="2182">
        <f>[1]реализация!E112+[2]реализация!E112</f>
        <v>687.96009273905713</v>
      </c>
      <c r="F118" s="920">
        <v>21.252780000000001</v>
      </c>
      <c r="G118" s="925">
        <v>850.00620000000004</v>
      </c>
      <c r="H118" s="920">
        <v>164.08669877135003</v>
      </c>
      <c r="I118" s="924">
        <v>164.08669877135003</v>
      </c>
    </row>
    <row r="119" spans="1:9" s="428" customFormat="1" ht="13.5" customHeight="1">
      <c r="A119" s="426"/>
      <c r="B119" s="427" t="s">
        <v>50</v>
      </c>
      <c r="C119" s="422"/>
      <c r="D119" s="925"/>
      <c r="E119" s="2181">
        <f>E118/D118*1000</f>
        <v>31500</v>
      </c>
      <c r="F119" s="923"/>
      <c r="G119" s="922">
        <f>G118/F118*1000</f>
        <v>39995.059469867003</v>
      </c>
      <c r="H119" s="923"/>
      <c r="I119" s="922">
        <f t="shared" si="34"/>
        <v>8495.0594698670029</v>
      </c>
    </row>
    <row r="120" spans="1:9" s="428" customFormat="1" ht="13.5" customHeight="1">
      <c r="A120" s="426"/>
      <c r="B120" s="424" t="s">
        <v>490</v>
      </c>
      <c r="C120" s="422"/>
      <c r="D120" s="954">
        <f>[1]реализация!D114+[2]реализация!D114</f>
        <v>12.493745300204836</v>
      </c>
      <c r="E120" s="2182">
        <f>[1]реализация!E114+[2]реализация!E114</f>
        <v>149.92494360245803</v>
      </c>
      <c r="F120" s="920">
        <v>27.723600000000001</v>
      </c>
      <c r="G120" s="921">
        <v>455.70008000000001</v>
      </c>
      <c r="H120" s="952">
        <f>F120-D120</f>
        <v>15.229854699795165</v>
      </c>
      <c r="I120" s="953">
        <f t="shared" ref="I120:I121" si="39">G120-E120</f>
        <v>305.77513639754198</v>
      </c>
    </row>
    <row r="121" spans="1:9" s="428" customFormat="1" ht="13.5" customHeight="1">
      <c r="A121" s="426"/>
      <c r="B121" s="427" t="s">
        <v>50</v>
      </c>
      <c r="C121" s="422"/>
      <c r="D121" s="925"/>
      <c r="E121" s="2181">
        <f>E120/D120*1000</f>
        <v>12000</v>
      </c>
      <c r="F121" s="923"/>
      <c r="G121" s="922">
        <f>G120/F120*1000</f>
        <v>16437.262116031106</v>
      </c>
      <c r="H121" s="964"/>
      <c r="I121" s="960">
        <f t="shared" si="39"/>
        <v>4437.2621160311064</v>
      </c>
    </row>
    <row r="122" spans="1:9" s="428" customFormat="1" ht="13.5" customHeight="1">
      <c r="A122" s="426"/>
      <c r="B122" s="424" t="s">
        <v>694</v>
      </c>
      <c r="C122" s="422"/>
      <c r="D122" s="954"/>
      <c r="E122" s="2182"/>
      <c r="F122" s="920">
        <v>70.14</v>
      </c>
      <c r="G122" s="921">
        <v>420.84</v>
      </c>
      <c r="H122" s="952">
        <f>F122-D122</f>
        <v>70.14</v>
      </c>
      <c r="I122" s="953">
        <f t="shared" ref="I122:I123" si="40">G122-E122</f>
        <v>420.84</v>
      </c>
    </row>
    <row r="123" spans="1:9" s="428" customFormat="1" ht="13.5" customHeight="1">
      <c r="A123" s="426"/>
      <c r="B123" s="427" t="s">
        <v>50</v>
      </c>
      <c r="C123" s="422"/>
      <c r="D123" s="925"/>
      <c r="E123" s="2181"/>
      <c r="F123" s="923"/>
      <c r="G123" s="922">
        <f>G122/F122*1000</f>
        <v>6000</v>
      </c>
      <c r="H123" s="964"/>
      <c r="I123" s="960">
        <f t="shared" si="40"/>
        <v>6000</v>
      </c>
    </row>
    <row r="124" spans="1:9" s="413" customFormat="1" ht="13.5" customHeight="1">
      <c r="A124" s="423"/>
      <c r="B124" s="424" t="s">
        <v>53</v>
      </c>
      <c r="C124" s="431"/>
      <c r="D124" s="925"/>
      <c r="E124" s="2182">
        <f>[1]реализация!E116+[2]реализация!E116</f>
        <v>0</v>
      </c>
      <c r="F124" s="920"/>
      <c r="G124" s="921">
        <f>8.516+646.08+21.1+75+407.001+49.5+649.2096</f>
        <v>1856.4066000000003</v>
      </c>
      <c r="H124" s="920"/>
      <c r="I124" s="921">
        <f t="shared" si="34"/>
        <v>1856.4066000000003</v>
      </c>
    </row>
    <row r="125" spans="1:9" s="413" customFormat="1" ht="13.5" customHeight="1">
      <c r="A125" s="423"/>
      <c r="B125" s="424" t="s">
        <v>54</v>
      </c>
      <c r="C125" s="431"/>
      <c r="D125" s="925"/>
      <c r="E125" s="2182">
        <f>[1]реализация!E117+[2]реализация!E117</f>
        <v>4330.5342808326714</v>
      </c>
      <c r="F125" s="920"/>
      <c r="G125" s="921">
        <f>4087.59214-G126</f>
        <v>3255.2052300000005</v>
      </c>
      <c r="H125" s="920"/>
      <c r="I125" s="921">
        <f t="shared" si="34"/>
        <v>-1075.3290508326709</v>
      </c>
    </row>
    <row r="126" spans="1:9" s="413" customFormat="1" ht="13.5" customHeight="1" thickBot="1">
      <c r="A126" s="705"/>
      <c r="B126" s="433" t="s">
        <v>55</v>
      </c>
      <c r="C126" s="431"/>
      <c r="D126" s="928"/>
      <c r="E126" s="2182">
        <f>[1]реализация!E118+[2]реализация!E118</f>
        <v>432</v>
      </c>
      <c r="F126" s="920"/>
      <c r="G126" s="921">
        <f>62.94895+769.43796</f>
        <v>832.38690999999994</v>
      </c>
      <c r="H126" s="920"/>
      <c r="I126" s="921">
        <f t="shared" si="34"/>
        <v>400.38690999999994</v>
      </c>
    </row>
    <row r="127" spans="1:9" ht="13.5" customHeight="1" thickBot="1">
      <c r="A127" s="706"/>
      <c r="B127" s="707" t="s">
        <v>57</v>
      </c>
      <c r="C127" s="436"/>
      <c r="D127" s="931"/>
      <c r="E127" s="2185">
        <f>SUM(E124:E126,E120,E118,E116,E114,E112,E110,E108,E106,E104,E102,E100,E98,E96,E68)</f>
        <v>756926.23908654891</v>
      </c>
      <c r="F127" s="931"/>
      <c r="G127" s="932">
        <f>SUM(G124:G126,G120,G118,G116,G114,G112,G110,G108,G106,G104,G102,G100,G98,G96,G68,G122)</f>
        <v>768951.42851000011</v>
      </c>
      <c r="H127" s="936"/>
      <c r="I127" s="927">
        <f t="shared" si="34"/>
        <v>12025.1894234512</v>
      </c>
    </row>
  </sheetData>
  <mergeCells count="12">
    <mergeCell ref="F65:G65"/>
    <mergeCell ref="H65:I65"/>
    <mergeCell ref="F2:G2"/>
    <mergeCell ref="H2:I2"/>
    <mergeCell ref="A2:A3"/>
    <mergeCell ref="B2:B3"/>
    <mergeCell ref="C2:C3"/>
    <mergeCell ref="D2:E2"/>
    <mergeCell ref="A65:A66"/>
    <mergeCell ref="B65:B66"/>
    <mergeCell ref="C65:C66"/>
    <mergeCell ref="D65:E65"/>
  </mergeCells>
  <phoneticPr fontId="18" type="noConversion"/>
  <pageMargins left="0.23622047244094491" right="0.27559055118110237" top="0.35433070866141736" bottom="0.23622047244094491" header="0.23622047244094491" footer="0.19685039370078741"/>
  <pageSetup paperSize="9" scale="95" orientation="portrait" r:id="rId1"/>
  <headerFooter alignWithMargins="0">
    <oddHeader>&amp;CРеализация &amp;F</oddHeader>
  </headerFooter>
  <ignoredErrors>
    <ignoredError sqref="G19" 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S84"/>
  <sheetViews>
    <sheetView workbookViewId="0">
      <pane xSplit="2" ySplit="6" topLeftCell="H41" activePane="bottomRight" state="frozen"/>
      <selection pane="topRight" activeCell="C1" sqref="C1"/>
      <selection pane="bottomLeft" activeCell="A7" sqref="A7"/>
      <selection pane="bottomRight" activeCell="R43" sqref="R43"/>
    </sheetView>
  </sheetViews>
  <sheetFormatPr defaultRowHeight="12.75" outlineLevelRow="1"/>
  <cols>
    <col min="1" max="1" width="0.85546875" style="1396" customWidth="1"/>
    <col min="2" max="2" width="29" style="1396" customWidth="1"/>
    <col min="3" max="3" width="8.7109375" style="1396" customWidth="1"/>
    <col min="4" max="4" width="8.85546875" style="1396" customWidth="1"/>
    <col min="5" max="5" width="8.7109375" style="1396" customWidth="1"/>
    <col min="6" max="6" width="8.85546875" style="1396" customWidth="1"/>
    <col min="7" max="7" width="10.42578125" style="1396" customWidth="1"/>
    <col min="8" max="8" width="6.140625" style="1396" customWidth="1"/>
    <col min="9" max="9" width="8.42578125" style="1396" customWidth="1"/>
    <col min="10" max="10" width="10" style="1396" customWidth="1"/>
    <col min="11" max="12" width="7.42578125" style="1396" customWidth="1"/>
    <col min="13" max="13" width="6.140625" style="1396" customWidth="1"/>
    <col min="14" max="14" width="7.85546875" style="1396" customWidth="1"/>
    <col min="15" max="15" width="7.140625" style="1396" customWidth="1"/>
    <col min="16" max="16" width="9.42578125" style="1402" customWidth="1"/>
    <col min="17" max="18" width="9.5703125" style="879" customWidth="1"/>
    <col min="20" max="16384" width="9.140625" style="879"/>
  </cols>
  <sheetData>
    <row r="1" spans="1:18" s="878" customFormat="1" ht="12" thickBot="1">
      <c r="A1" s="1389" t="s">
        <v>657</v>
      </c>
      <c r="B1" s="1390"/>
      <c r="C1" s="1391"/>
      <c r="D1" s="1391"/>
      <c r="E1" s="1391"/>
      <c r="F1" s="1391"/>
      <c r="G1" s="1391"/>
      <c r="H1" s="1391"/>
      <c r="I1" s="1391"/>
      <c r="J1" s="1391"/>
      <c r="K1" s="1391"/>
      <c r="L1" s="1391"/>
      <c r="M1" s="1391"/>
      <c r="N1" s="1391"/>
      <c r="O1" s="1391"/>
      <c r="P1" s="1389"/>
    </row>
    <row r="2" spans="1:18" ht="106.5" customHeight="1" thickBot="1">
      <c r="A2" s="1392"/>
      <c r="B2" s="1393"/>
      <c r="C2" s="1394" t="s">
        <v>425</v>
      </c>
      <c r="D2" s="1394" t="s">
        <v>421</v>
      </c>
      <c r="E2" s="1394" t="s">
        <v>426</v>
      </c>
      <c r="F2" s="1394" t="s">
        <v>633</v>
      </c>
      <c r="G2" s="1394" t="s">
        <v>634</v>
      </c>
      <c r="H2" s="1394" t="s">
        <v>635</v>
      </c>
      <c r="I2" s="1395" t="s">
        <v>115</v>
      </c>
      <c r="J2" s="2600" t="s">
        <v>116</v>
      </c>
      <c r="K2" s="2606" t="s">
        <v>117</v>
      </c>
      <c r="L2" s="2600" t="s">
        <v>118</v>
      </c>
      <c r="M2" s="2600" t="s">
        <v>119</v>
      </c>
      <c r="N2" s="2600" t="s">
        <v>120</v>
      </c>
      <c r="O2" s="2600" t="s">
        <v>121</v>
      </c>
      <c r="P2" s="2600" t="s">
        <v>647</v>
      </c>
      <c r="Q2" s="1631" t="s">
        <v>561</v>
      </c>
      <c r="R2" s="2603" t="s">
        <v>197</v>
      </c>
    </row>
    <row r="3" spans="1:18" s="880" customFormat="1" ht="21.75" thickBot="1">
      <c r="A3" s="1397"/>
      <c r="B3" s="1636" t="s">
        <v>90</v>
      </c>
      <c r="C3" s="1638">
        <f>'обор. ш-1'!L31</f>
        <v>1945.3973499552001</v>
      </c>
      <c r="D3" s="1638">
        <f>'обор.шув-2,3'!L34</f>
        <v>1189.0398524999998</v>
      </c>
      <c r="E3" s="1638">
        <f>'обор.шув-2,3'!L43</f>
        <v>1571.0996799999998</v>
      </c>
      <c r="F3" s="1638">
        <f>обор.КРС!L37</f>
        <v>39.623499999999993</v>
      </c>
      <c r="G3" s="1638">
        <f>'КРС факт'!I10</f>
        <v>677.63499999999999</v>
      </c>
      <c r="H3" s="1638"/>
      <c r="I3" s="1638">
        <f>реал!D68</f>
        <v>1266.9679999999998</v>
      </c>
      <c r="J3" s="2601"/>
      <c r="K3" s="2607"/>
      <c r="L3" s="2601"/>
      <c r="M3" s="2601"/>
      <c r="N3" s="2601"/>
      <c r="O3" s="2601"/>
      <c r="P3" s="2601"/>
      <c r="Q3" s="1632"/>
      <c r="R3" s="2604"/>
    </row>
    <row r="4" spans="1:18" s="880" customFormat="1" ht="21.75" thickBot="1">
      <c r="A4" s="1397"/>
      <c r="B4" s="1634" t="s">
        <v>91</v>
      </c>
      <c r="C4" s="1639">
        <f>'обор. ш-1'!L32</f>
        <v>1998.1999999999998</v>
      </c>
      <c r="D4" s="1639">
        <f>'обор.шув-2,3'!L35</f>
        <v>1141.58</v>
      </c>
      <c r="E4" s="1640">
        <f>'обор.шув-2,3'!L44</f>
        <v>1676.942</v>
      </c>
      <c r="F4" s="1639">
        <f>обор.КРС!L38</f>
        <v>38.811710000000005</v>
      </c>
      <c r="G4" s="1640">
        <f>'КРС факт'!H11</f>
        <v>700.56</v>
      </c>
      <c r="H4" s="1639"/>
      <c r="I4" s="1641">
        <f>реал!F68</f>
        <v>1186.2150502999998</v>
      </c>
      <c r="J4" s="2601"/>
      <c r="K4" s="2607"/>
      <c r="L4" s="2601"/>
      <c r="M4" s="2601"/>
      <c r="N4" s="2601"/>
      <c r="O4" s="2601"/>
      <c r="P4" s="2601"/>
      <c r="Q4" s="1632"/>
      <c r="R4" s="2604"/>
    </row>
    <row r="5" spans="1:18" s="880" customFormat="1" ht="11.25" thickBot="1">
      <c r="A5" s="1397"/>
      <c r="B5" s="1637" t="s">
        <v>17</v>
      </c>
      <c r="C5" s="1635">
        <f>C4-C3</f>
        <v>52.802650044799748</v>
      </c>
      <c r="D5" s="1635">
        <f>D4-D3</f>
        <v>-47.459852499999897</v>
      </c>
      <c r="E5" s="1635">
        <f>E4-E3</f>
        <v>105.8423200000002</v>
      </c>
      <c r="F5" s="1635">
        <f t="shared" ref="F5:G5" si="0">F4-F3</f>
        <v>-0.8117899999999878</v>
      </c>
      <c r="G5" s="1635">
        <f t="shared" si="0"/>
        <v>22.924999999999955</v>
      </c>
      <c r="H5" s="1410"/>
      <c r="I5" s="1410">
        <f>I4-I3</f>
        <v>-80.752949700000045</v>
      </c>
      <c r="J5" s="2601"/>
      <c r="K5" s="2607"/>
      <c r="L5" s="2601"/>
      <c r="M5" s="2601"/>
      <c r="N5" s="2601"/>
      <c r="O5" s="2601"/>
      <c r="P5" s="2601"/>
      <c r="Q5" s="1632"/>
      <c r="R5" s="2604"/>
    </row>
    <row r="6" spans="1:18" s="880" customFormat="1" ht="11.25" thickBot="1">
      <c r="A6" s="1410"/>
      <c r="B6" s="1411" t="s">
        <v>58</v>
      </c>
      <c r="C6" s="2597"/>
      <c r="D6" s="2598"/>
      <c r="E6" s="2598"/>
      <c r="F6" s="2598"/>
      <c r="G6" s="2598"/>
      <c r="H6" s="2598"/>
      <c r="I6" s="2599"/>
      <c r="J6" s="2602"/>
      <c r="K6" s="2608"/>
      <c r="L6" s="2602"/>
      <c r="M6" s="2602"/>
      <c r="N6" s="2602"/>
      <c r="O6" s="2602"/>
      <c r="P6" s="2602"/>
      <c r="Q6" s="1633"/>
      <c r="R6" s="2605"/>
    </row>
    <row r="7" spans="1:18" s="880" customFormat="1" ht="10.5">
      <c r="A7" s="1397"/>
      <c r="B7" s="1412" t="s">
        <v>60</v>
      </c>
      <c r="C7" s="1413">
        <f t="shared" ref="C7:P7" si="1">SUM(C8,C11,C14:C17,C20,C23,C26,C29,C32,C33,C36:C41)</f>
        <v>110081.46793</v>
      </c>
      <c r="D7" s="1414">
        <f t="shared" si="1"/>
        <v>73956.58630000001</v>
      </c>
      <c r="E7" s="1414">
        <f t="shared" si="1"/>
        <v>85243.653053999995</v>
      </c>
      <c r="F7" s="1414">
        <f t="shared" si="1"/>
        <v>5563.9822599999998</v>
      </c>
      <c r="G7" s="1414">
        <f>SUM(G8,G11,G14:G17,G20,G23,G26,G29,G32,G33,G36:G41)</f>
        <v>7033.4152789999998</v>
      </c>
      <c r="H7" s="1414">
        <f>SUM(H8,H11,H14:H17,H20,H23,H26,H29,H32,H33,H36:H41)</f>
        <v>341.11081000000001</v>
      </c>
      <c r="I7" s="1415">
        <f t="shared" si="1"/>
        <v>45496.413739999996</v>
      </c>
      <c r="J7" s="1413">
        <f t="shared" si="1"/>
        <v>327716.629373</v>
      </c>
      <c r="K7" s="1413">
        <f t="shared" si="1"/>
        <v>65405.534699999989</v>
      </c>
      <c r="L7" s="1413">
        <f>SUM(L8,L11,L14:L17,L20,L23,L26,L29,L32,L33,L36:L41)</f>
        <v>3491.8757699999996</v>
      </c>
      <c r="M7" s="1413">
        <f t="shared" si="1"/>
        <v>2881.4379600000002</v>
      </c>
      <c r="N7" s="1413">
        <f t="shared" si="1"/>
        <v>2550.2564723999999</v>
      </c>
      <c r="O7" s="1413">
        <f t="shared" si="1"/>
        <v>4383.0445500000005</v>
      </c>
      <c r="P7" s="1414">
        <f t="shared" si="1"/>
        <v>406428.77882540005</v>
      </c>
      <c r="Q7" s="881">
        <f>SUM(Q8,Q11,Q14:Q17,Q20,Q23,Q26,Q29,Q32,Q33,Q36:Q41)</f>
        <v>414174.47658190387</v>
      </c>
      <c r="R7" s="882">
        <f>P7-Q7</f>
        <v>-7745.6977565038251</v>
      </c>
    </row>
    <row r="8" spans="1:18">
      <c r="A8" s="1417"/>
      <c r="B8" s="1418" t="s">
        <v>503</v>
      </c>
      <c r="C8" s="1419">
        <f>'св-во Ш1 факт'!L12</f>
        <v>104088.89207</v>
      </c>
      <c r="D8" s="1420">
        <f>'св-во Ш2,3 факт'!K12</f>
        <v>67896.557480000003</v>
      </c>
      <c r="E8" s="1420">
        <f>'св-во Ш2,3 факт'!O12</f>
        <v>82002.021609999996</v>
      </c>
      <c r="F8" s="1419">
        <f>'КРС факт'!K16</f>
        <v>2554.4146700000001</v>
      </c>
      <c r="G8" s="1420">
        <f>'КРС факт'!H16</f>
        <v>3892.8895499999999</v>
      </c>
      <c r="H8" s="1420"/>
      <c r="I8" s="1421"/>
      <c r="J8" s="1699">
        <f>SUM(C8:I8)</f>
        <v>260434.77538000001</v>
      </c>
      <c r="K8" s="1421"/>
      <c r="L8" s="1420"/>
      <c r="M8" s="1421"/>
      <c r="N8" s="1420"/>
      <c r="O8" s="1421"/>
      <c r="P8" s="1422">
        <f>SUM(J8:O8)</f>
        <v>260434.77538000001</v>
      </c>
      <c r="Q8" s="884">
        <f>'произв. план'!P8</f>
        <v>256955.45029942697</v>
      </c>
      <c r="R8" s="882">
        <f t="shared" ref="R8:R72" si="2">P8-Q8</f>
        <v>3479.3250805730349</v>
      </c>
    </row>
    <row r="9" spans="1:18" s="885" customFormat="1" ht="11.25">
      <c r="A9" s="1425"/>
      <c r="B9" s="1418" t="s">
        <v>123</v>
      </c>
      <c r="C9" s="1419">
        <f>'св-во Ш1 факт'!L13</f>
        <v>6056.0489999999991</v>
      </c>
      <c r="D9" s="1420">
        <f>'св-во Ш2,3 факт'!K13</f>
        <v>3388.96</v>
      </c>
      <c r="E9" s="1420">
        <f>'св-во Ш2,3 факт'!O13</f>
        <v>5297.2359999999999</v>
      </c>
      <c r="F9" s="1419">
        <f>'КРС факт'!K17</f>
        <v>174.89400000000001</v>
      </c>
      <c r="G9" s="1420">
        <f>'КРС факт'!H17</f>
        <v>294.572</v>
      </c>
      <c r="H9" s="1420"/>
      <c r="I9" s="1421"/>
      <c r="J9" s="1420">
        <f>SUM(C9:I9)</f>
        <v>15211.710999999999</v>
      </c>
      <c r="K9" s="1426"/>
      <c r="L9" s="1427"/>
      <c r="M9" s="1426"/>
      <c r="N9" s="1427"/>
      <c r="O9" s="1426"/>
      <c r="P9" s="1422">
        <f>SUM(J9:O9)</f>
        <v>15211.710999999999</v>
      </c>
      <c r="Q9" s="884">
        <f>'произв. план'!P9</f>
        <v>13902.806162849998</v>
      </c>
      <c r="R9" s="882">
        <f t="shared" si="2"/>
        <v>1308.9048371500012</v>
      </c>
    </row>
    <row r="10" spans="1:18" s="887" customFormat="1" ht="11.25">
      <c r="A10" s="1430"/>
      <c r="B10" s="1431" t="s">
        <v>63</v>
      </c>
      <c r="C10" s="1432">
        <f>C8/C9*1000</f>
        <v>17187.590798885547</v>
      </c>
      <c r="D10" s="1433">
        <f>D8/D9*1000</f>
        <v>20034.629349416933</v>
      </c>
      <c r="E10" s="1433">
        <f>E8/E9*1000</f>
        <v>15480.152594673902</v>
      </c>
      <c r="F10" s="1433">
        <f>F8/F9*1000</f>
        <v>14605.502018365411</v>
      </c>
      <c r="G10" s="1433">
        <f>G8/G9*1000</f>
        <v>13215.409305704547</v>
      </c>
      <c r="H10" s="1434"/>
      <c r="I10" s="1435"/>
      <c r="J10" s="1434">
        <f>J8/J9*1000</f>
        <v>17120.675996276816</v>
      </c>
      <c r="K10" s="1436"/>
      <c r="L10" s="1434"/>
      <c r="M10" s="1436"/>
      <c r="N10" s="1434"/>
      <c r="O10" s="1436"/>
      <c r="P10" s="1437">
        <f>P8/P9*1000</f>
        <v>17120.675996276816</v>
      </c>
      <c r="Q10" s="886">
        <f>Q8/Q9*1000</f>
        <v>18482.272376496439</v>
      </c>
      <c r="R10" s="882">
        <f t="shared" si="2"/>
        <v>-1361.5963802196238</v>
      </c>
    </row>
    <row r="11" spans="1:18" hidden="1" outlineLevel="1">
      <c r="A11" s="1417"/>
      <c r="B11" s="1418" t="s">
        <v>101</v>
      </c>
      <c r="C11" s="1419"/>
      <c r="D11" s="1420">
        <f>'[1]затраты св-во шув-2'!K11</f>
        <v>0</v>
      </c>
      <c r="E11" s="1420">
        <f>'[1]затраты св-во шув-2'!M11</f>
        <v>0</v>
      </c>
      <c r="F11" s="1419"/>
      <c r="G11" s="1420"/>
      <c r="H11" s="1420"/>
      <c r="I11" s="1421"/>
      <c r="J11" s="1420">
        <f>SUM(C11:I11)</f>
        <v>0</v>
      </c>
      <c r="K11" s="1421"/>
      <c r="L11" s="1420"/>
      <c r="M11" s="1421"/>
      <c r="N11" s="1420"/>
      <c r="O11" s="1421"/>
      <c r="P11" s="1422">
        <f>SUM(J11:O11)</f>
        <v>0</v>
      </c>
      <c r="Q11" s="884">
        <f>'произв. план'!P11</f>
        <v>0</v>
      </c>
      <c r="R11" s="882">
        <f t="shared" si="2"/>
        <v>0</v>
      </c>
    </row>
    <row r="12" spans="1:18" s="885" customFormat="1" ht="11.25" hidden="1" outlineLevel="1">
      <c r="A12" s="1425"/>
      <c r="B12" s="1418" t="s">
        <v>123</v>
      </c>
      <c r="C12" s="1419"/>
      <c r="D12" s="1420">
        <f>'[1]затраты св-во шув-2'!K12</f>
        <v>0</v>
      </c>
      <c r="E12" s="1420">
        <f>'[1]затраты св-во шув-2'!M12</f>
        <v>0</v>
      </c>
      <c r="F12" s="1419"/>
      <c r="G12" s="1420"/>
      <c r="H12" s="1420"/>
      <c r="I12" s="1426"/>
      <c r="J12" s="1420">
        <f>SUM(C12:I12)</f>
        <v>0</v>
      </c>
      <c r="K12" s="1426"/>
      <c r="L12" s="1427"/>
      <c r="M12" s="1426"/>
      <c r="N12" s="1427"/>
      <c r="O12" s="1426"/>
      <c r="P12" s="1422">
        <f>SUM(J12:O12)</f>
        <v>0</v>
      </c>
      <c r="Q12" s="884">
        <f>'произв. план'!P12</f>
        <v>0</v>
      </c>
      <c r="R12" s="882">
        <f t="shared" si="2"/>
        <v>0</v>
      </c>
    </row>
    <row r="13" spans="1:18" s="887" customFormat="1" ht="11.25" hidden="1" outlineLevel="1">
      <c r="A13" s="1430"/>
      <c r="B13" s="1431" t="s">
        <v>63</v>
      </c>
      <c r="C13" s="1440"/>
      <c r="D13" s="1434"/>
      <c r="E13" s="1434"/>
      <c r="F13" s="1440"/>
      <c r="G13" s="1434"/>
      <c r="H13" s="1434"/>
      <c r="I13" s="1436"/>
      <c r="J13" s="1434"/>
      <c r="K13" s="1436"/>
      <c r="L13" s="1434"/>
      <c r="M13" s="1436"/>
      <c r="N13" s="1434"/>
      <c r="O13" s="1436"/>
      <c r="P13" s="1437"/>
      <c r="Q13" s="886" t="e">
        <f>Q11/Q12*1000</f>
        <v>#DIV/0!</v>
      </c>
      <c r="R13" s="882" t="e">
        <f t="shared" si="2"/>
        <v>#DIV/0!</v>
      </c>
    </row>
    <row r="14" spans="1:18" s="888" customFormat="1" ht="11.25" collapsed="1">
      <c r="A14" s="1441"/>
      <c r="B14" s="1418" t="s">
        <v>125</v>
      </c>
      <c r="C14" s="1419">
        <f>'св-во Ш1 факт'!L18</f>
        <v>63.189030000000002</v>
      </c>
      <c r="D14" s="1420">
        <f>'св-во Ш2,3 факт'!K18</f>
        <v>143.80249000000001</v>
      </c>
      <c r="E14" s="1420">
        <f>'св-во Ш2,3 факт'!O18</f>
        <v>0</v>
      </c>
      <c r="F14" s="1419">
        <f>'КРС факт'!K22</f>
        <v>220.16101</v>
      </c>
      <c r="G14" s="1420">
        <f>'КРС факт'!H22</f>
        <v>979.97552000000007</v>
      </c>
      <c r="H14" s="1420"/>
      <c r="I14" s="1421"/>
      <c r="J14" s="1420">
        <f>SUM(C14:I14)</f>
        <v>1407.12805</v>
      </c>
      <c r="K14" s="1421"/>
      <c r="L14" s="1420"/>
      <c r="M14" s="1421"/>
      <c r="N14" s="1420"/>
      <c r="O14" s="1421"/>
      <c r="P14" s="1422">
        <f>SUM(J14:O14)</f>
        <v>1407.12805</v>
      </c>
      <c r="Q14" s="884">
        <f>'произв. план'!P14</f>
        <v>2262.3109199999999</v>
      </c>
      <c r="R14" s="882">
        <f t="shared" si="2"/>
        <v>-855.18286999999987</v>
      </c>
    </row>
    <row r="15" spans="1:18" s="885" customFormat="1" ht="11.25">
      <c r="A15" s="1425"/>
      <c r="B15" s="1418" t="s">
        <v>126</v>
      </c>
      <c r="C15" s="1419">
        <f>'св-во Ш1 факт'!L19</f>
        <v>0</v>
      </c>
      <c r="D15" s="1420"/>
      <c r="E15" s="1420">
        <f>'св-во Ш2,3 факт'!O19</f>
        <v>0</v>
      </c>
      <c r="F15" s="1419">
        <f>'КРС факт'!K23</f>
        <v>2569.0012900000002</v>
      </c>
      <c r="G15" s="1420">
        <f>'КРС факт'!H23</f>
        <v>1697.5947699999999</v>
      </c>
      <c r="H15" s="1420"/>
      <c r="I15" s="1426"/>
      <c r="J15" s="1420">
        <f t="shared" ref="J15:J18" si="3">SUM(C15:I15)</f>
        <v>4266.5960599999999</v>
      </c>
      <c r="K15" s="1426"/>
      <c r="L15" s="1427"/>
      <c r="M15" s="1426"/>
      <c r="N15" s="1427"/>
      <c r="O15" s="1426"/>
      <c r="P15" s="1422">
        <f>SUM(J15:O15)</f>
        <v>4266.5960599999999</v>
      </c>
      <c r="Q15" s="884">
        <f>'произв. план'!P15</f>
        <v>4544.8225400000001</v>
      </c>
      <c r="R15" s="882">
        <f t="shared" si="2"/>
        <v>-278.22648000000027</v>
      </c>
    </row>
    <row r="16" spans="1:18" s="888" customFormat="1" ht="11.25">
      <c r="A16" s="1441"/>
      <c r="B16" s="1418" t="s">
        <v>127</v>
      </c>
      <c r="C16" s="1419">
        <f>'св-во Ш1 факт'!L20</f>
        <v>4770.96234</v>
      </c>
      <c r="D16" s="1420">
        <f>'св-во Ш2,3 факт'!K20</f>
        <v>4647.3429100000003</v>
      </c>
      <c r="E16" s="1420">
        <f>'св-во Ш2,3 факт'!O20</f>
        <v>1406.06637</v>
      </c>
      <c r="F16" s="1419">
        <f>'КРС факт'!K24</f>
        <v>137.25529</v>
      </c>
      <c r="G16" s="1420">
        <f>'КРС факт'!H24</f>
        <v>78.490309999999994</v>
      </c>
      <c r="H16" s="1420"/>
      <c r="I16" s="1421"/>
      <c r="J16" s="1420">
        <f t="shared" si="3"/>
        <v>11040.11722</v>
      </c>
      <c r="K16" s="1421"/>
      <c r="L16" s="1420"/>
      <c r="M16" s="1421"/>
      <c r="N16" s="1420"/>
      <c r="O16" s="1421"/>
      <c r="P16" s="1444">
        <f>SUM(J16:O16)</f>
        <v>11040.11722</v>
      </c>
      <c r="Q16" s="884">
        <f>'произв. план'!P16</f>
        <v>13363.297406666665</v>
      </c>
      <c r="R16" s="882">
        <f t="shared" si="2"/>
        <v>-2323.1801866666647</v>
      </c>
    </row>
    <row r="17" spans="1:18">
      <c r="A17" s="1417"/>
      <c r="B17" s="1418" t="s">
        <v>61</v>
      </c>
      <c r="C17" s="1419"/>
      <c r="D17" s="1420"/>
      <c r="E17" s="1420"/>
      <c r="F17" s="1419"/>
      <c r="G17" s="1420"/>
      <c r="H17" s="1420"/>
      <c r="I17" s="1421"/>
      <c r="J17" s="1420">
        <f t="shared" si="3"/>
        <v>0</v>
      </c>
      <c r="K17" s="1427">
        <f>'вспом.пр-ва факт'!AN6</f>
        <v>39670.919149999994</v>
      </c>
      <c r="L17" s="1420"/>
      <c r="M17" s="1421"/>
      <c r="N17" s="1420"/>
      <c r="O17" s="1421">
        <f>'[1]затраты вспом.'!AM6</f>
        <v>1728</v>
      </c>
      <c r="P17" s="1444">
        <f>SUM(J17:O17)</f>
        <v>41398.919149999994</v>
      </c>
      <c r="Q17" s="884">
        <f>'произв. план'!P17</f>
        <v>35501.166049999993</v>
      </c>
      <c r="R17" s="882">
        <f t="shared" si="2"/>
        <v>5897.7531000000017</v>
      </c>
    </row>
    <row r="18" spans="1:18" s="885" customFormat="1" ht="11.25">
      <c r="A18" s="1425"/>
      <c r="B18" s="1418" t="s">
        <v>62</v>
      </c>
      <c r="C18" s="1419"/>
      <c r="D18" s="1420"/>
      <c r="E18" s="1420"/>
      <c r="F18" s="1419"/>
      <c r="G18" s="1420"/>
      <c r="H18" s="1420"/>
      <c r="I18" s="1426"/>
      <c r="J18" s="1420">
        <f t="shared" si="3"/>
        <v>0</v>
      </c>
      <c r="K18" s="1427">
        <f>'вспом.пр-ва факт'!AN7</f>
        <v>7117.8969999999999</v>
      </c>
      <c r="L18" s="1420"/>
      <c r="M18" s="1421"/>
      <c r="N18" s="1420"/>
      <c r="O18" s="1421">
        <f>'[1]затраты вспом.'!AM7</f>
        <v>270</v>
      </c>
      <c r="P18" s="1444">
        <f>SUM(J18:O18)</f>
        <v>7387.8969999999999</v>
      </c>
      <c r="Q18" s="884">
        <f>'произв. план'!P18</f>
        <v>5658.9274999999989</v>
      </c>
      <c r="R18" s="882">
        <f t="shared" si="2"/>
        <v>1728.9695000000011</v>
      </c>
    </row>
    <row r="19" spans="1:18" s="887" customFormat="1" ht="11.25">
      <c r="A19" s="1430"/>
      <c r="B19" s="1431" t="s">
        <v>63</v>
      </c>
      <c r="C19" s="1445"/>
      <c r="D19" s="1446"/>
      <c r="E19" s="1446"/>
      <c r="F19" s="1445"/>
      <c r="G19" s="1446"/>
      <c r="H19" s="1446"/>
      <c r="I19" s="1436"/>
      <c r="J19" s="1446">
        <f t="shared" ref="J19:J31" si="4">SUM(C19:I19)</f>
        <v>0</v>
      </c>
      <c r="K19" s="1434">
        <f>K17/K18*1000</f>
        <v>5573.4044971429057</v>
      </c>
      <c r="L19" s="1446"/>
      <c r="M19" s="1447"/>
      <c r="N19" s="1446"/>
      <c r="O19" s="1447">
        <f>'[1]затраты вспом.'!AM8</f>
        <v>6400</v>
      </c>
      <c r="P19" s="1437">
        <f>P17/P18*1000</f>
        <v>5603.6134707887768</v>
      </c>
      <c r="Q19" s="1712">
        <f>Q17/Q18*1000</f>
        <v>6273.4795683457687</v>
      </c>
      <c r="R19" s="882">
        <f t="shared" si="2"/>
        <v>-669.86609755699192</v>
      </c>
    </row>
    <row r="20" spans="1:18">
      <c r="A20" s="1417"/>
      <c r="B20" s="1418" t="s">
        <v>64</v>
      </c>
      <c r="C20" s="1419"/>
      <c r="D20" s="1420"/>
      <c r="E20" s="1420"/>
      <c r="F20" s="1419"/>
      <c r="G20" s="1420"/>
      <c r="H20" s="1420"/>
      <c r="I20" s="1421"/>
      <c r="J20" s="1420">
        <f t="shared" si="4"/>
        <v>0</v>
      </c>
      <c r="K20" s="1427">
        <f>'вспом.пр-ва факт'!AN9</f>
        <v>10514.037979999999</v>
      </c>
      <c r="L20" s="1420">
        <f>'вспом.пр-ва факт'!AG9</f>
        <v>0</v>
      </c>
      <c r="M20" s="1421"/>
      <c r="N20" s="1420"/>
      <c r="O20" s="1421"/>
      <c r="P20" s="1444">
        <f>SUM(J20:O20)</f>
        <v>10514.037979999999</v>
      </c>
      <c r="Q20" s="884">
        <f>'произв. план'!P20</f>
        <v>5866.96</v>
      </c>
      <c r="R20" s="882">
        <f t="shared" si="2"/>
        <v>4647.0779799999991</v>
      </c>
    </row>
    <row r="21" spans="1:18" s="885" customFormat="1" ht="11.25">
      <c r="A21" s="1425"/>
      <c r="B21" s="1418" t="s">
        <v>65</v>
      </c>
      <c r="C21" s="1419"/>
      <c r="D21" s="1420"/>
      <c r="E21" s="1420"/>
      <c r="F21" s="1419"/>
      <c r="G21" s="1420"/>
      <c r="H21" s="1420"/>
      <c r="I21" s="1421"/>
      <c r="J21" s="1420">
        <f t="shared" si="4"/>
        <v>0</v>
      </c>
      <c r="K21" s="1427">
        <f>'вспом.пр-ва факт'!AN10</f>
        <v>1760.9580000000001</v>
      </c>
      <c r="L21" s="1420">
        <f>'вспом.пр-ва факт'!AG10</f>
        <v>0</v>
      </c>
      <c r="M21" s="1421"/>
      <c r="N21" s="1420"/>
      <c r="O21" s="1421"/>
      <c r="P21" s="1444">
        <f>SUM(J21:O21)</f>
        <v>1760.9580000000001</v>
      </c>
      <c r="Q21" s="884">
        <f>'произв. план'!P21</f>
        <v>994.4</v>
      </c>
      <c r="R21" s="882">
        <f t="shared" si="2"/>
        <v>766.55800000000011</v>
      </c>
    </row>
    <row r="22" spans="1:18" s="887" customFormat="1" ht="11.25">
      <c r="A22" s="1430"/>
      <c r="B22" s="1431" t="s">
        <v>63</v>
      </c>
      <c r="C22" s="1445"/>
      <c r="D22" s="1446"/>
      <c r="E22" s="1446"/>
      <c r="F22" s="1445"/>
      <c r="G22" s="1446"/>
      <c r="H22" s="1446"/>
      <c r="I22" s="1436"/>
      <c r="J22" s="1446">
        <f t="shared" si="4"/>
        <v>0</v>
      </c>
      <c r="K22" s="1434">
        <f>K20/K21*1000</f>
        <v>5970.6352905634312</v>
      </c>
      <c r="L22" s="1434"/>
      <c r="M22" s="1447"/>
      <c r="N22" s="1448"/>
      <c r="O22" s="1447"/>
      <c r="P22" s="1437">
        <f>P20/P21*1000</f>
        <v>5970.6352905634312</v>
      </c>
      <c r="Q22" s="886">
        <f>Q20/Q21*1000</f>
        <v>5900</v>
      </c>
      <c r="R22" s="882">
        <f t="shared" si="2"/>
        <v>70.635290563431226</v>
      </c>
    </row>
    <row r="23" spans="1:18">
      <c r="A23" s="1417"/>
      <c r="B23" s="1418" t="s">
        <v>66</v>
      </c>
      <c r="C23" s="1419"/>
      <c r="D23" s="1420"/>
      <c r="E23" s="1420"/>
      <c r="F23" s="1419"/>
      <c r="G23" s="1420"/>
      <c r="H23" s="1420"/>
      <c r="I23" s="1421">
        <f>'пром.пр-ва факт'!H11</f>
        <v>386.00722999999999</v>
      </c>
      <c r="J23" s="1420">
        <f t="shared" si="4"/>
        <v>386.00722999999999</v>
      </c>
      <c r="K23" s="1427">
        <f>'вспом.пр-ва факт'!AN12</f>
        <v>2467.2759799999994</v>
      </c>
      <c r="L23" s="1420"/>
      <c r="M23" s="1421"/>
      <c r="N23" s="1427">
        <f>'[1]затраты вспом.'!AK12</f>
        <v>167.03280000000001</v>
      </c>
      <c r="O23" s="1421"/>
      <c r="P23" s="1444">
        <f>SUM(J23:O23)</f>
        <v>3020.3160099999996</v>
      </c>
      <c r="Q23" s="884">
        <f>'произв. план'!P23</f>
        <v>1615.01928</v>
      </c>
      <c r="R23" s="882">
        <f t="shared" si="2"/>
        <v>1405.2967299999996</v>
      </c>
    </row>
    <row r="24" spans="1:18" s="885" customFormat="1" ht="11.25">
      <c r="A24" s="1425"/>
      <c r="B24" s="1418" t="s">
        <v>12</v>
      </c>
      <c r="C24" s="1419"/>
      <c r="D24" s="1420"/>
      <c r="E24" s="1420"/>
      <c r="F24" s="1419"/>
      <c r="G24" s="1420"/>
      <c r="H24" s="1420"/>
      <c r="I24" s="1421">
        <f>'пром.пр-ва факт'!H12</f>
        <v>23.308990000000001</v>
      </c>
      <c r="J24" s="1420">
        <f t="shared" si="4"/>
        <v>23.308990000000001</v>
      </c>
      <c r="K24" s="1427">
        <f>'вспом.пр-ва факт'!AN13</f>
        <v>83.735159199999998</v>
      </c>
      <c r="L24" s="1420"/>
      <c r="M24" s="1421"/>
      <c r="N24" s="1427">
        <f>'[1]затраты вспом.'!AK13</f>
        <v>7.524</v>
      </c>
      <c r="O24" s="1421"/>
      <c r="P24" s="1444">
        <f>SUM(J24:O24)</f>
        <v>114.56814919999999</v>
      </c>
      <c r="Q24" s="884">
        <f>'произв. план'!P24</f>
        <v>78.032399999999996</v>
      </c>
      <c r="R24" s="882">
        <f t="shared" si="2"/>
        <v>36.535749199999998</v>
      </c>
    </row>
    <row r="25" spans="1:18" s="887" customFormat="1" ht="11.25">
      <c r="A25" s="1430"/>
      <c r="B25" s="1431" t="s">
        <v>63</v>
      </c>
      <c r="C25" s="1445"/>
      <c r="D25" s="1446"/>
      <c r="E25" s="1446"/>
      <c r="F25" s="1445"/>
      <c r="G25" s="1446"/>
      <c r="H25" s="1446"/>
      <c r="I25" s="1435">
        <f>I23/I24*1000</f>
        <v>16560.444274934263</v>
      </c>
      <c r="J25" s="1446">
        <f t="shared" si="4"/>
        <v>16560.444274934263</v>
      </c>
      <c r="K25" s="1434">
        <f>K23/K24*1000</f>
        <v>29465.233046335445</v>
      </c>
      <c r="L25" s="1434"/>
      <c r="M25" s="1447"/>
      <c r="N25" s="1434">
        <f>N23/N24*1000</f>
        <v>22200.000000000004</v>
      </c>
      <c r="O25" s="1447"/>
      <c r="P25" s="1437">
        <f>P23/P24*1000</f>
        <v>26362.615012026396</v>
      </c>
      <c r="Q25" s="886">
        <f>Q23/Q24*1000</f>
        <v>20696.7782613376</v>
      </c>
      <c r="R25" s="882">
        <f t="shared" si="2"/>
        <v>5665.8367506887953</v>
      </c>
    </row>
    <row r="26" spans="1:18">
      <c r="A26" s="1417"/>
      <c r="B26" s="1418" t="s">
        <v>67</v>
      </c>
      <c r="C26" s="1419"/>
      <c r="D26" s="1420">
        <f>'св-во Ш2,3 факт'!K24</f>
        <v>311.95880999999997</v>
      </c>
      <c r="E26" s="1420">
        <f>'св-во Ш2,3 факт'!O24</f>
        <v>196.07222999999999</v>
      </c>
      <c r="F26" s="1419"/>
      <c r="G26" s="1420"/>
      <c r="H26" s="1420"/>
      <c r="I26" s="1449">
        <f>I27*I28/1000</f>
        <v>0</v>
      </c>
      <c r="J26" s="1420">
        <f t="shared" si="4"/>
        <v>508.03103999999996</v>
      </c>
      <c r="K26" s="1427">
        <f>'вспом.пр-ва факт'!AN15</f>
        <v>8937.0953000000009</v>
      </c>
      <c r="L26" s="1420">
        <f>'вспом.пр-ва факт'!AG15</f>
        <v>169.65081999999998</v>
      </c>
      <c r="M26" s="1421"/>
      <c r="N26" s="1427">
        <f>'[1]затраты вспом.'!AK15</f>
        <v>0</v>
      </c>
      <c r="O26" s="1421"/>
      <c r="P26" s="1444">
        <f>SUM(J26:O26)</f>
        <v>9614.7771600000015</v>
      </c>
      <c r="Q26" s="884">
        <f>'произв. план'!P26</f>
        <v>7165.1249999999982</v>
      </c>
      <c r="R26" s="882">
        <f t="shared" si="2"/>
        <v>2449.6521600000033</v>
      </c>
    </row>
    <row r="27" spans="1:18" s="885" customFormat="1" ht="11.25">
      <c r="A27" s="1425"/>
      <c r="B27" s="1418" t="s">
        <v>69</v>
      </c>
      <c r="C27" s="1419"/>
      <c r="D27" s="1420">
        <f>'св-во Ш2,3 факт'!K25</f>
        <v>8.8249999999999993</v>
      </c>
      <c r="E27" s="1420">
        <f>'св-во Ш2,3 факт'!O25</f>
        <v>5.58</v>
      </c>
      <c r="F27" s="1419"/>
      <c r="G27" s="1420"/>
      <c r="H27" s="1420"/>
      <c r="I27" s="1421"/>
      <c r="J27" s="1420">
        <f t="shared" si="4"/>
        <v>14.404999999999999</v>
      </c>
      <c r="K27" s="1427">
        <f>'вспом.пр-ва факт'!AN16</f>
        <v>251.89899999999997</v>
      </c>
      <c r="L27" s="1420">
        <f>'вспом.пр-ва факт'!AG16</f>
        <v>4.57</v>
      </c>
      <c r="M27" s="1421"/>
      <c r="N27" s="1427">
        <f>'[1]затраты вспом.'!AK16</f>
        <v>0</v>
      </c>
      <c r="O27" s="1421"/>
      <c r="P27" s="1444">
        <f>SUM(J27:O27)</f>
        <v>270.87399999999997</v>
      </c>
      <c r="Q27" s="884">
        <f>'произв. план'!P27</f>
        <v>217.125</v>
      </c>
      <c r="R27" s="882">
        <f t="shared" si="2"/>
        <v>53.748999999999967</v>
      </c>
    </row>
    <row r="28" spans="1:18" s="887" customFormat="1" ht="11.25">
      <c r="A28" s="1430"/>
      <c r="B28" s="1431" t="s">
        <v>63</v>
      </c>
      <c r="C28" s="1445"/>
      <c r="D28" s="1434">
        <f>D26/D27*1000</f>
        <v>35349.440226628896</v>
      </c>
      <c r="E28" s="1434">
        <f>E26/E27*1000</f>
        <v>35138.392473118278</v>
      </c>
      <c r="F28" s="1445"/>
      <c r="G28" s="1434"/>
      <c r="H28" s="1434"/>
      <c r="I28" s="1450"/>
      <c r="J28" s="1434">
        <f>J26/J27*1000</f>
        <v>35267.687608469278</v>
      </c>
      <c r="K28" s="1434">
        <f>K26/K27*1000</f>
        <v>35478.883600173089</v>
      </c>
      <c r="L28" s="1434"/>
      <c r="M28" s="1447"/>
      <c r="N28" s="1446"/>
      <c r="O28" s="1447"/>
      <c r="P28" s="1437">
        <f>P26/P27*1000</f>
        <v>35495.385898978871</v>
      </c>
      <c r="Q28" s="886">
        <f>Q26/Q27*1000</f>
        <v>32999.999999999993</v>
      </c>
      <c r="R28" s="882">
        <f t="shared" si="2"/>
        <v>2495.3858989788787</v>
      </c>
    </row>
    <row r="29" spans="1:18">
      <c r="A29" s="1417"/>
      <c r="B29" s="1418" t="s">
        <v>68</v>
      </c>
      <c r="C29" s="1419"/>
      <c r="D29" s="1420"/>
      <c r="E29" s="1420"/>
      <c r="F29" s="1419"/>
      <c r="G29" s="1420"/>
      <c r="H29" s="1420"/>
      <c r="I29" s="1421"/>
      <c r="J29" s="1420">
        <f t="shared" ref="J29:J34" si="5">SUM(C29:I29)</f>
        <v>0</v>
      </c>
      <c r="K29" s="1427">
        <f>'вспом.пр-ва факт'!AN18</f>
        <v>2008.8425399999999</v>
      </c>
      <c r="L29" s="1420">
        <f>'вспом.пр-ва факт'!AG18</f>
        <v>4.9179300000000001</v>
      </c>
      <c r="M29" s="1421"/>
      <c r="N29" s="1427">
        <f>'[1]затраты вспом.'!AK18</f>
        <v>731.52</v>
      </c>
      <c r="O29" s="1421"/>
      <c r="P29" s="1444">
        <f>SUM(J29:O29)</f>
        <v>2745.2804699999997</v>
      </c>
      <c r="Q29" s="884">
        <f>'произв. план'!P29</f>
        <v>1347.1559999999999</v>
      </c>
      <c r="R29" s="882">
        <f t="shared" si="2"/>
        <v>1398.1244699999997</v>
      </c>
    </row>
    <row r="30" spans="1:18" s="885" customFormat="1" ht="11.25">
      <c r="A30" s="1425"/>
      <c r="B30" s="1418" t="s">
        <v>69</v>
      </c>
      <c r="C30" s="1419"/>
      <c r="D30" s="1420"/>
      <c r="E30" s="1420"/>
      <c r="F30" s="1419"/>
      <c r="G30" s="1420"/>
      <c r="H30" s="1420"/>
      <c r="I30" s="1421"/>
      <c r="J30" s="1420">
        <f t="shared" si="5"/>
        <v>0</v>
      </c>
      <c r="K30" s="1427">
        <f>'вспом.пр-ва факт'!AN19</f>
        <v>56.818660000000008</v>
      </c>
      <c r="L30" s="1420">
        <f>'вспом.пр-ва факт'!AG19</f>
        <v>0.14000000000000001</v>
      </c>
      <c r="M30" s="1421"/>
      <c r="N30" s="1427">
        <f>'[1]затраты вспом.'!AK19</f>
        <v>20.7</v>
      </c>
      <c r="O30" s="1421"/>
      <c r="P30" s="1444">
        <f>SUM(J30:O30)</f>
        <v>77.658660000000012</v>
      </c>
      <c r="Q30" s="884">
        <f>'произв. план'!P30</f>
        <v>39.022500000000008</v>
      </c>
      <c r="R30" s="882">
        <f t="shared" si="2"/>
        <v>38.636160000000004</v>
      </c>
    </row>
    <row r="31" spans="1:18" s="887" customFormat="1" ht="11.25">
      <c r="A31" s="1430"/>
      <c r="B31" s="1431" t="s">
        <v>63</v>
      </c>
      <c r="C31" s="1445"/>
      <c r="D31" s="1446"/>
      <c r="E31" s="1446"/>
      <c r="F31" s="1445"/>
      <c r="G31" s="1446"/>
      <c r="H31" s="1446"/>
      <c r="I31" s="1447"/>
      <c r="J31" s="1446">
        <f t="shared" si="4"/>
        <v>0</v>
      </c>
      <c r="K31" s="1434">
        <f>K29/K30*1000</f>
        <v>35355.331153532999</v>
      </c>
      <c r="L31" s="1434">
        <f>L29/L30*1000</f>
        <v>35128.071428571428</v>
      </c>
      <c r="M31" s="1447"/>
      <c r="N31" s="1434">
        <f>N29/N30*1000</f>
        <v>35339.130434782608</v>
      </c>
      <c r="O31" s="1447"/>
      <c r="P31" s="1437">
        <f>P29/P30*1000</f>
        <v>35350.603139430932</v>
      </c>
      <c r="Q31" s="886">
        <f>Q29/Q30*1000</f>
        <v>34522.544685758206</v>
      </c>
      <c r="R31" s="882">
        <f t="shared" si="2"/>
        <v>828.05845367272559</v>
      </c>
    </row>
    <row r="32" spans="1:18" s="885" customFormat="1" ht="11.25">
      <c r="A32" s="1425"/>
      <c r="B32" s="1418" t="s">
        <v>128</v>
      </c>
      <c r="C32" s="1419"/>
      <c r="D32" s="1420"/>
      <c r="E32" s="1420"/>
      <c r="F32" s="1419"/>
      <c r="G32" s="1420"/>
      <c r="H32" s="1420"/>
      <c r="I32" s="1421">
        <f>'пром.пр-ва факт'!H20</f>
        <v>0.17763000000000001</v>
      </c>
      <c r="J32" s="1420">
        <f t="shared" si="5"/>
        <v>0.17763000000000001</v>
      </c>
      <c r="K32" s="1427">
        <f>'вспом.пр-ва факт'!AN21</f>
        <v>602.62830000000008</v>
      </c>
      <c r="L32" s="1420">
        <f>'вспом.пр-ва факт'!AG21</f>
        <v>2.1667399999999999</v>
      </c>
      <c r="M32" s="1421"/>
      <c r="N32" s="1427">
        <f>'[1]затраты вспом.'!AK21</f>
        <v>37.071382400000005</v>
      </c>
      <c r="O32" s="1421"/>
      <c r="P32" s="1444">
        <f>SUM(J32:O32)</f>
        <v>642.04405240000006</v>
      </c>
      <c r="Q32" s="884">
        <f>'произв. план'!P32</f>
        <v>415.55387866666666</v>
      </c>
      <c r="R32" s="882">
        <f t="shared" si="2"/>
        <v>226.49017373333339</v>
      </c>
    </row>
    <row r="33" spans="1:18">
      <c r="A33" s="1417"/>
      <c r="B33" s="1418" t="s">
        <v>99</v>
      </c>
      <c r="C33" s="1419"/>
      <c r="D33" s="1420"/>
      <c r="E33" s="1420"/>
      <c r="F33" s="1419"/>
      <c r="G33" s="1420"/>
      <c r="H33" s="1420"/>
      <c r="I33" s="1421">
        <f>'пром.пр-ва факт'!H21</f>
        <v>9272.1636099999996</v>
      </c>
      <c r="J33" s="1420">
        <f t="shared" si="5"/>
        <v>9272.1636099999996</v>
      </c>
      <c r="K33" s="1421"/>
      <c r="L33" s="1420"/>
      <c r="M33" s="1421"/>
      <c r="N33" s="1427"/>
      <c r="O33" s="1421"/>
      <c r="P33" s="1444">
        <f>SUM(J33:O33)</f>
        <v>9272.1636099999996</v>
      </c>
      <c r="Q33" s="884">
        <f>'произв. план'!P33</f>
        <v>36614.125354433745</v>
      </c>
      <c r="R33" s="882">
        <f t="shared" si="2"/>
        <v>-27341.961744433745</v>
      </c>
    </row>
    <row r="34" spans="1:18" s="885" customFormat="1" ht="11.25">
      <c r="A34" s="1425"/>
      <c r="B34" s="1418" t="s">
        <v>12</v>
      </c>
      <c r="C34" s="1419"/>
      <c r="D34" s="1420"/>
      <c r="E34" s="1420"/>
      <c r="F34" s="1419"/>
      <c r="G34" s="1420"/>
      <c r="H34" s="1420"/>
      <c r="I34" s="1421">
        <f>'пром.пр-ва факт'!H22</f>
        <v>104.90300000000001</v>
      </c>
      <c r="J34" s="1420">
        <f t="shared" si="5"/>
        <v>104.90300000000001</v>
      </c>
      <c r="K34" s="1421"/>
      <c r="L34" s="1420"/>
      <c r="M34" s="1421"/>
      <c r="N34" s="1420"/>
      <c r="O34" s="1421"/>
      <c r="P34" s="1444">
        <f>SUM(J34:O34)</f>
        <v>104.90300000000001</v>
      </c>
      <c r="Q34" s="884">
        <f>'произв. план'!P34</f>
        <v>385.41184583614466</v>
      </c>
      <c r="R34" s="882">
        <f t="shared" si="2"/>
        <v>-280.50884583614464</v>
      </c>
    </row>
    <row r="35" spans="1:18" s="887" customFormat="1" ht="11.25">
      <c r="A35" s="1430"/>
      <c r="B35" s="1431" t="s">
        <v>63</v>
      </c>
      <c r="C35" s="1445"/>
      <c r="D35" s="1446"/>
      <c r="E35" s="1446"/>
      <c r="F35" s="1445"/>
      <c r="G35" s="1446"/>
      <c r="H35" s="1446"/>
      <c r="I35" s="1435">
        <f>I33/I34*1000</f>
        <v>88387.973747175944</v>
      </c>
      <c r="J35" s="1434">
        <f>J33/J34*1000</f>
        <v>88387.973747175944</v>
      </c>
      <c r="K35" s="1447"/>
      <c r="L35" s="1446"/>
      <c r="M35" s="1447"/>
      <c r="N35" s="1446"/>
      <c r="O35" s="1447"/>
      <c r="P35" s="1437">
        <f>P33/P34*1000</f>
        <v>88387.973747175944</v>
      </c>
      <c r="Q35" s="886">
        <f>Q33/Q34*1000</f>
        <v>95000</v>
      </c>
      <c r="R35" s="882">
        <f t="shared" si="2"/>
        <v>-6612.0262528240564</v>
      </c>
    </row>
    <row r="36" spans="1:18" s="885" customFormat="1" ht="11.25" outlineLevel="1">
      <c r="A36" s="1425"/>
      <c r="B36" s="1418" t="s">
        <v>409</v>
      </c>
      <c r="C36" s="1419"/>
      <c r="D36" s="1420"/>
      <c r="E36" s="1420"/>
      <c r="F36" s="1419"/>
      <c r="G36" s="1420"/>
      <c r="H36" s="1420">
        <v>128.25</v>
      </c>
      <c r="I36" s="1421"/>
      <c r="J36" s="1420">
        <f t="shared" ref="J36:J44" si="6">SUM(C36:I36)</f>
        <v>128.25</v>
      </c>
      <c r="K36" s="1421"/>
      <c r="L36" s="1420"/>
      <c r="M36" s="1421"/>
      <c r="N36" s="1420"/>
      <c r="O36" s="1421"/>
      <c r="P36" s="1444">
        <f t="shared" ref="P36:P48" si="7">SUM(J36:O36)</f>
        <v>128.25</v>
      </c>
      <c r="Q36" s="884">
        <f>'произв. план'!P36</f>
        <v>0</v>
      </c>
      <c r="R36" s="882">
        <f t="shared" si="2"/>
        <v>128.25</v>
      </c>
    </row>
    <row r="37" spans="1:18" s="885" customFormat="1" ht="11.25" outlineLevel="1">
      <c r="A37" s="1425"/>
      <c r="B37" s="1418" t="s">
        <v>410</v>
      </c>
      <c r="C37" s="1419"/>
      <c r="D37" s="1420"/>
      <c r="E37" s="1420"/>
      <c r="F37" s="1419"/>
      <c r="G37" s="1420"/>
      <c r="H37" s="1420"/>
      <c r="I37" s="1421"/>
      <c r="J37" s="1420">
        <f t="shared" si="6"/>
        <v>0</v>
      </c>
      <c r="K37" s="1421"/>
      <c r="L37" s="1420"/>
      <c r="M37" s="1421"/>
      <c r="N37" s="1420"/>
      <c r="O37" s="1421"/>
      <c r="P37" s="1444">
        <f t="shared" si="7"/>
        <v>0</v>
      </c>
      <c r="Q37" s="884">
        <f>'произв. план'!P37</f>
        <v>0</v>
      </c>
      <c r="R37" s="882">
        <f t="shared" si="2"/>
        <v>0</v>
      </c>
    </row>
    <row r="38" spans="1:18" s="885" customFormat="1" ht="11.25">
      <c r="A38" s="1425"/>
      <c r="B38" s="1418" t="s">
        <v>100</v>
      </c>
      <c r="C38" s="1419"/>
      <c r="D38" s="1420"/>
      <c r="E38" s="1420"/>
      <c r="F38" s="1419"/>
      <c r="G38" s="1420"/>
      <c r="H38" s="1420"/>
      <c r="I38" s="1421">
        <f>'пром.пр-ва факт'!H24</f>
        <v>30029.22378</v>
      </c>
      <c r="J38" s="1420">
        <f t="shared" ref="J38" si="8">SUM(C38:I38)</f>
        <v>30029.22378</v>
      </c>
      <c r="K38" s="1421"/>
      <c r="L38" s="1420"/>
      <c r="M38" s="1421"/>
      <c r="N38" s="1420"/>
      <c r="O38" s="1421"/>
      <c r="P38" s="1444">
        <f t="shared" si="7"/>
        <v>30029.22378</v>
      </c>
      <c r="Q38" s="884">
        <f>'произв. план'!P38</f>
        <v>23490.893925203625</v>
      </c>
      <c r="R38" s="882">
        <f t="shared" si="2"/>
        <v>6538.329854796375</v>
      </c>
    </row>
    <row r="39" spans="1:18" s="885" customFormat="1" ht="11.25" outlineLevel="1">
      <c r="A39" s="1425"/>
      <c r="B39" s="1418" t="s">
        <v>101</v>
      </c>
      <c r="C39" s="1419"/>
      <c r="D39" s="1420"/>
      <c r="E39" s="1420"/>
      <c r="F39" s="1419"/>
      <c r="G39" s="1420"/>
      <c r="H39" s="1420">
        <v>187.70500000000001</v>
      </c>
      <c r="I39" s="1421"/>
      <c r="J39" s="1420">
        <f t="shared" si="6"/>
        <v>187.70500000000001</v>
      </c>
      <c r="K39" s="1421"/>
      <c r="L39" s="1420"/>
      <c r="M39" s="1421"/>
      <c r="N39" s="1420"/>
      <c r="O39" s="1421"/>
      <c r="P39" s="1444">
        <f t="shared" si="7"/>
        <v>187.70500000000001</v>
      </c>
      <c r="Q39" s="884">
        <f>'произв. план'!P39</f>
        <v>0</v>
      </c>
      <c r="R39" s="882">
        <f t="shared" si="2"/>
        <v>187.70500000000001</v>
      </c>
    </row>
    <row r="40" spans="1:18" s="885" customFormat="1" ht="11.25" outlineLevel="1">
      <c r="A40" s="1425"/>
      <c r="B40" s="1418" t="s">
        <v>129</v>
      </c>
      <c r="C40" s="1419"/>
      <c r="D40" s="1420"/>
      <c r="E40" s="1420"/>
      <c r="F40" s="1419"/>
      <c r="G40" s="1420"/>
      <c r="H40" s="1420">
        <v>25.155809999999999</v>
      </c>
      <c r="I40" s="1421"/>
      <c r="J40" s="1420">
        <f t="shared" si="6"/>
        <v>25.155809999999999</v>
      </c>
      <c r="K40" s="1421"/>
      <c r="L40" s="1420"/>
      <c r="M40" s="1421"/>
      <c r="N40" s="1420"/>
      <c r="O40" s="1421"/>
      <c r="P40" s="1444">
        <f t="shared" si="7"/>
        <v>25.155809999999999</v>
      </c>
      <c r="Q40" s="884">
        <f>'произв. план'!P40</f>
        <v>0</v>
      </c>
      <c r="R40" s="882">
        <f t="shared" si="2"/>
        <v>25.155809999999999</v>
      </c>
    </row>
    <row r="41" spans="1:18" ht="22.5">
      <c r="A41" s="1417"/>
      <c r="B41" s="1453" t="s">
        <v>71</v>
      </c>
      <c r="C41" s="1419">
        <f>'св-во Ш1 факт'!L21</f>
        <v>1158.4244899999999</v>
      </c>
      <c r="D41" s="1420">
        <f>'св-во Ш2,3 факт'!K30</f>
        <v>956.92461000000003</v>
      </c>
      <c r="E41" s="1420">
        <f>'св-во Ш2,3 факт'!O30</f>
        <v>1639.4928439999999</v>
      </c>
      <c r="F41" s="1419">
        <f>'КРС факт'!K25</f>
        <v>83.149999999999991</v>
      </c>
      <c r="G41" s="1420">
        <f>'КРС факт'!H25</f>
        <v>384.46512899999999</v>
      </c>
      <c r="H41" s="1420"/>
      <c r="I41" s="1421">
        <f>'пром.пр-ва факт'!H25</f>
        <v>5808.8414900000007</v>
      </c>
      <c r="J41" s="1420">
        <f t="shared" si="6"/>
        <v>10031.298563</v>
      </c>
      <c r="K41" s="1427">
        <f>'вспом.пр-ва факт'!AC22</f>
        <v>1204.7354499999997</v>
      </c>
      <c r="L41" s="1420">
        <f>'вспом.пр-ва факт'!AG22</f>
        <v>3315.1402799999996</v>
      </c>
      <c r="M41" s="1427">
        <f>'вспом.пр-ва факт'!AL22</f>
        <v>2881.4379600000002</v>
      </c>
      <c r="N41" s="1427">
        <f>'вспом.пр-ва факт'!AK22</f>
        <v>1614.63229</v>
      </c>
      <c r="O41" s="1427">
        <f>'вспом.пр-ва факт'!AM22</f>
        <v>2655.0445500000005</v>
      </c>
      <c r="P41" s="1444">
        <f t="shared" si="7"/>
        <v>21702.289092999999</v>
      </c>
      <c r="Q41" s="884">
        <f>'произв. план'!P41</f>
        <v>25032.595927506165</v>
      </c>
      <c r="R41" s="882">
        <f t="shared" si="2"/>
        <v>-3330.3068345061656</v>
      </c>
    </row>
    <row r="42" spans="1:18" s="880" customFormat="1" ht="11.25">
      <c r="A42" s="1397"/>
      <c r="B42" s="1454" t="s">
        <v>549</v>
      </c>
      <c r="C42" s="1419">
        <f>'св-во Ш1 факт'!L22</f>
        <v>9.3165499999999994</v>
      </c>
      <c r="D42" s="1420">
        <f>'св-во Ш2,3 факт'!K31</f>
        <v>10173.61097</v>
      </c>
      <c r="E42" s="1420">
        <f>'св-во Ш2,3 факт'!O31</f>
        <v>11399.625910000001</v>
      </c>
      <c r="F42" s="1419">
        <f>'КРС факт'!K26</f>
        <v>60.919020000000003</v>
      </c>
      <c r="G42" s="1420">
        <f>'КРС факт'!H26</f>
        <v>1219.79692</v>
      </c>
      <c r="H42" s="1420"/>
      <c r="I42" s="1421">
        <f>'пром.пр-ва факт'!H26</f>
        <v>12352.618039999999</v>
      </c>
      <c r="J42" s="1698">
        <f t="shared" si="6"/>
        <v>35215.887410000003</v>
      </c>
      <c r="K42" s="1427">
        <f>'вспом.пр-ва факт'!AC23</f>
        <v>8911.5690899999991</v>
      </c>
      <c r="L42" s="1420">
        <f>'вспом.пр-ва факт'!AG23</f>
        <v>15886.764520000001</v>
      </c>
      <c r="M42" s="1427">
        <f>'вспом.пр-ва факт'!AL23</f>
        <v>88.774320000000003</v>
      </c>
      <c r="N42" s="1427">
        <f>'вспом.пр-ва факт'!AK23</f>
        <v>1033.96894</v>
      </c>
      <c r="O42" s="1427">
        <f>'вспом.пр-ва факт'!AM23</f>
        <v>492.42308999999995</v>
      </c>
      <c r="P42" s="1444">
        <f t="shared" si="7"/>
        <v>61629.387369999989</v>
      </c>
      <c r="Q42" s="884">
        <f>'произв. план'!P42</f>
        <v>53478.066890000002</v>
      </c>
      <c r="R42" s="882">
        <f t="shared" si="2"/>
        <v>8151.3204799999876</v>
      </c>
    </row>
    <row r="43" spans="1:18" s="880" customFormat="1" ht="11.25">
      <c r="A43" s="1397"/>
      <c r="B43" s="1454" t="s">
        <v>73</v>
      </c>
      <c r="C43" s="1419">
        <f>'св-во Ш1 факт'!L23</f>
        <v>5539.9337800000003</v>
      </c>
      <c r="D43" s="1420">
        <f>'св-во Ш2,3 факт'!K32</f>
        <v>4206.0243800000007</v>
      </c>
      <c r="E43" s="1420">
        <f>'св-во Ш2,3 факт'!O32</f>
        <v>3314.71614</v>
      </c>
      <c r="F43" s="1419">
        <f>'КРС факт'!K27</f>
        <v>1418.0169100000001</v>
      </c>
      <c r="G43" s="1420">
        <f>'КРС факт'!H27</f>
        <v>1315.1697899999999</v>
      </c>
      <c r="H43" s="1420">
        <v>17.933450000000001</v>
      </c>
      <c r="I43" s="1421">
        <f>'пром.пр-ва факт'!H27</f>
        <v>30743.515299999999</v>
      </c>
      <c r="J43" s="1422">
        <f>SUM(C43:I43)</f>
        <v>46555.30975</v>
      </c>
      <c r="K43" s="1427">
        <f>'вспом.пр-ва факт'!AC24</f>
        <v>23628.33092</v>
      </c>
      <c r="L43" s="1420">
        <f>'вспом.пр-ва факт'!AG24</f>
        <v>6758.1667799999996</v>
      </c>
      <c r="M43" s="1427">
        <f>'вспом.пр-ва факт'!AL24</f>
        <v>934.11977999999999</v>
      </c>
      <c r="N43" s="1427">
        <f>'вспом.пр-ва факт'!AK24</f>
        <v>24491.835230000001</v>
      </c>
      <c r="O43" s="1427">
        <f>'вспом.пр-ва факт'!AM24</f>
        <v>19693.58065</v>
      </c>
      <c r="P43" s="1444">
        <f>SUM(J43:O43)</f>
        <v>122061.34310999999</v>
      </c>
      <c r="Q43" s="884">
        <f>'произв. план'!P43</f>
        <v>91937.600000000006</v>
      </c>
      <c r="R43" s="882">
        <f t="shared" si="2"/>
        <v>30123.743109999981</v>
      </c>
    </row>
    <row r="44" spans="1:18" s="880" customFormat="1" ht="11.25">
      <c r="A44" s="1397"/>
      <c r="B44" s="1454" t="s">
        <v>74</v>
      </c>
      <c r="C44" s="1419">
        <f>'св-во Ш1 факт'!L24</f>
        <v>1721.8581299999998</v>
      </c>
      <c r="D44" s="1420">
        <f>'св-во Ш2,3 факт'!K33</f>
        <v>1300.6139400000002</v>
      </c>
      <c r="E44" s="1420">
        <f>'св-во Ш2,3 факт'!O33</f>
        <v>1013.00605</v>
      </c>
      <c r="F44" s="1419">
        <f>'КРС факт'!K28</f>
        <v>437.01348999999999</v>
      </c>
      <c r="G44" s="1420">
        <f>'КРС факт'!H28</f>
        <v>411.72667999999999</v>
      </c>
      <c r="H44" s="1419">
        <f>5.59525</f>
        <v>5.5952500000000001</v>
      </c>
      <c r="I44" s="1421">
        <f>'пром.пр-ва факт'!H28</f>
        <v>9673.9144099999976</v>
      </c>
      <c r="J44" s="1422">
        <f t="shared" si="6"/>
        <v>14563.727949999997</v>
      </c>
      <c r="K44" s="1427">
        <f>'вспом.пр-ва факт'!AC25</f>
        <v>7359.8305300000002</v>
      </c>
      <c r="L44" s="1420">
        <f>'вспом.пр-ва факт'!AG25</f>
        <v>2078.1771800000001</v>
      </c>
      <c r="M44" s="1427">
        <f>'вспом.пр-ва факт'!AL25</f>
        <v>289.79111</v>
      </c>
      <c r="N44" s="1427">
        <f>'вспом.пр-ва факт'!AK25</f>
        <v>7383.6025200000004</v>
      </c>
      <c r="O44" s="1427">
        <f>'вспом.пр-ва факт'!AM25</f>
        <v>6096.4881800000003</v>
      </c>
      <c r="P44" s="1444">
        <f t="shared" si="7"/>
        <v>37771.617469999997</v>
      </c>
      <c r="Q44" s="884">
        <f>'произв. план'!P44</f>
        <v>28684.531199999998</v>
      </c>
      <c r="R44" s="882">
        <f t="shared" si="2"/>
        <v>9087.0862699999998</v>
      </c>
    </row>
    <row r="45" spans="1:18" s="880" customFormat="1" ht="10.5">
      <c r="A45" s="1397"/>
      <c r="B45" s="1454" t="s">
        <v>75</v>
      </c>
      <c r="C45" s="1458">
        <f t="shared" ref="C45:O45" si="9">C46+C47+C48</f>
        <v>29.5</v>
      </c>
      <c r="D45" s="1422">
        <f t="shared" si="9"/>
        <v>0</v>
      </c>
      <c r="E45" s="1422">
        <f t="shared" si="9"/>
        <v>2457.1127000000001</v>
      </c>
      <c r="F45" s="1458">
        <f t="shared" si="9"/>
        <v>0</v>
      </c>
      <c r="G45" s="1422">
        <f t="shared" si="9"/>
        <v>268.36295000000001</v>
      </c>
      <c r="H45" s="1422">
        <f t="shared" si="9"/>
        <v>0</v>
      </c>
      <c r="I45" s="1459">
        <f t="shared" si="9"/>
        <v>4141.2255800000003</v>
      </c>
      <c r="J45" s="1422">
        <f>J46+J47+J48</f>
        <v>6896.2012300000006</v>
      </c>
      <c r="K45" s="1458">
        <f t="shared" si="9"/>
        <v>7575.4490000000005</v>
      </c>
      <c r="L45" s="1422">
        <f t="shared" si="9"/>
        <v>4371.1359000000002</v>
      </c>
      <c r="M45" s="1460">
        <f t="shared" si="9"/>
        <v>0</v>
      </c>
      <c r="N45" s="1422">
        <f t="shared" si="9"/>
        <v>2068.7933600000001</v>
      </c>
      <c r="O45" s="1461">
        <f t="shared" si="9"/>
        <v>806.40583000000004</v>
      </c>
      <c r="P45" s="1444">
        <f t="shared" si="7"/>
        <v>21717.98532</v>
      </c>
      <c r="Q45" s="883">
        <f>Q46+Q47+Q48</f>
        <v>20600.465</v>
      </c>
      <c r="R45" s="882">
        <f t="shared" si="2"/>
        <v>1117.5203199999996</v>
      </c>
    </row>
    <row r="46" spans="1:18">
      <c r="A46" s="1417"/>
      <c r="B46" s="1462" t="s">
        <v>130</v>
      </c>
      <c r="C46" s="1419">
        <f>'св-во Ш1 факт'!L26</f>
        <v>0</v>
      </c>
      <c r="D46" s="1420">
        <f>'св-во Ш2,3 факт'!K35</f>
        <v>0</v>
      </c>
      <c r="E46" s="1420">
        <f>'св-во Ш2,3 факт'!O35</f>
        <v>1813.21119</v>
      </c>
      <c r="F46" s="1419">
        <f>'КРС факт'!K30</f>
        <v>0</v>
      </c>
      <c r="G46" s="1420">
        <f>'КРС факт'!H30</f>
        <v>263.16295000000002</v>
      </c>
      <c r="H46" s="1420"/>
      <c r="I46" s="1421">
        <f>'пром.пр-ва факт'!H30</f>
        <v>3709.0321800000002</v>
      </c>
      <c r="J46" s="1422">
        <f>SUM(C46:I46)</f>
        <v>5785.4063200000001</v>
      </c>
      <c r="K46" s="1427">
        <f>'вспом.пр-ва факт'!AC27</f>
        <v>1158.1259699999998</v>
      </c>
      <c r="L46" s="1420">
        <f>'вспом.пр-ва факт'!AG27</f>
        <v>4371.1359000000002</v>
      </c>
      <c r="M46" s="1427"/>
      <c r="N46" s="1427">
        <f>'вспом.пр-ва факт'!AK27</f>
        <v>392.98599000000002</v>
      </c>
      <c r="O46" s="1427">
        <f>'вспом.пр-ва факт'!AM27</f>
        <v>744.58082999999999</v>
      </c>
      <c r="P46" s="1444">
        <f>SUM(J46:O46)</f>
        <v>12452.23501</v>
      </c>
      <c r="Q46" s="884">
        <f>'произв. план'!P46</f>
        <v>12283.924999999999</v>
      </c>
      <c r="R46" s="882">
        <f t="shared" si="2"/>
        <v>168.31001000000106</v>
      </c>
    </row>
    <row r="47" spans="1:18">
      <c r="A47" s="1417"/>
      <c r="B47" s="1462" t="s">
        <v>77</v>
      </c>
      <c r="C47" s="1419">
        <f>'св-во Ш1 факт'!L27</f>
        <v>0</v>
      </c>
      <c r="D47" s="1420">
        <f>'св-во Ш2,3 факт'!K36</f>
        <v>0</v>
      </c>
      <c r="E47" s="1420">
        <f>'св-во Ш2,3 факт'!O36</f>
        <v>0</v>
      </c>
      <c r="F47" s="1419">
        <f>'КРС факт'!K31</f>
        <v>0</v>
      </c>
      <c r="G47" s="1420">
        <f>'КРС факт'!H31</f>
        <v>0</v>
      </c>
      <c r="H47" s="1420"/>
      <c r="I47" s="1421">
        <f>'пром.пр-ва факт'!H31</f>
        <v>0</v>
      </c>
      <c r="J47" s="1422">
        <f>SUM(C47:I47)</f>
        <v>0</v>
      </c>
      <c r="K47" s="1427">
        <f>'вспом.пр-ва факт'!AC28</f>
        <v>4000.36186</v>
      </c>
      <c r="L47" s="1420"/>
      <c r="M47" s="1427"/>
      <c r="N47" s="1427">
        <f>'вспом.пр-ва факт'!AK28</f>
        <v>186.37540000000001</v>
      </c>
      <c r="O47" s="1427"/>
      <c r="P47" s="1444">
        <f t="shared" si="7"/>
        <v>4186.7372599999999</v>
      </c>
      <c r="Q47" s="884">
        <f>'произв. план'!P47</f>
        <v>3873</v>
      </c>
      <c r="R47" s="882">
        <f t="shared" si="2"/>
        <v>313.73725999999988</v>
      </c>
    </row>
    <row r="48" spans="1:18" ht="22.5">
      <c r="A48" s="1417"/>
      <c r="B48" s="1462" t="s">
        <v>78</v>
      </c>
      <c r="C48" s="1419">
        <f>'св-во Ш1 факт'!L28</f>
        <v>29.5</v>
      </c>
      <c r="D48" s="1420">
        <f>'св-во Ш2,3 факт'!K37</f>
        <v>0</v>
      </c>
      <c r="E48" s="1420">
        <f>'св-во Ш2,3 факт'!O37</f>
        <v>643.90151000000003</v>
      </c>
      <c r="F48" s="1419">
        <f>'КРС факт'!K32</f>
        <v>0</v>
      </c>
      <c r="G48" s="1420">
        <f>'КРС факт'!H32</f>
        <v>5.2</v>
      </c>
      <c r="H48" s="1420"/>
      <c r="I48" s="1421">
        <f>'пром.пр-ва факт'!H32</f>
        <v>432.19340000000005</v>
      </c>
      <c r="J48" s="1422">
        <f>SUM(C48:I48)</f>
        <v>1110.7949100000001</v>
      </c>
      <c r="K48" s="1427">
        <f>'вспом.пр-ва факт'!AC29</f>
        <v>2416.96117</v>
      </c>
      <c r="L48" s="1420"/>
      <c r="M48" s="1427"/>
      <c r="N48" s="1427">
        <f>'вспом.пр-ва факт'!AK29</f>
        <v>1489.4319700000001</v>
      </c>
      <c r="O48" s="1427">
        <f>'вспом.пр-ва факт'!AM29</f>
        <v>61.825000000000003</v>
      </c>
      <c r="P48" s="1444">
        <f t="shared" si="7"/>
        <v>5079.0130500000005</v>
      </c>
      <c r="Q48" s="884">
        <f>'произв. план'!P48</f>
        <v>4443.54</v>
      </c>
      <c r="R48" s="882">
        <f t="shared" si="2"/>
        <v>635.47305000000051</v>
      </c>
    </row>
    <row r="49" spans="1:18" s="880" customFormat="1" ht="10.5">
      <c r="A49" s="1397"/>
      <c r="B49" s="1454" t="s">
        <v>79</v>
      </c>
      <c r="C49" s="1458">
        <f>SUM(C50:C59)</f>
        <v>2823.9568599999993</v>
      </c>
      <c r="D49" s="1422">
        <f>SUM(D50:D59)</f>
        <v>4957.5815700000003</v>
      </c>
      <c r="E49" s="1422">
        <f>SUM(E50:E59)</f>
        <v>2141.58178</v>
      </c>
      <c r="F49" s="1422">
        <f t="shared" ref="F49:H49" si="10">SUM(F50:F59)</f>
        <v>182.41899999999998</v>
      </c>
      <c r="G49" s="1422">
        <f t="shared" si="10"/>
        <v>273.36304999999999</v>
      </c>
      <c r="H49" s="1422">
        <f t="shared" si="10"/>
        <v>6</v>
      </c>
      <c r="I49" s="1460">
        <f>SUM(I50:I59)</f>
        <v>3389.2459100000001</v>
      </c>
      <c r="J49" s="1422">
        <f t="shared" ref="J49:J59" si="11">SUM(C49:I49)</f>
        <v>13774.148169999999</v>
      </c>
      <c r="K49" s="1463">
        <f t="shared" ref="K49:P49" si="12">SUM(K50:K59)</f>
        <v>3959.9941100000001</v>
      </c>
      <c r="L49" s="1422">
        <f t="shared" si="12"/>
        <v>1275.28262</v>
      </c>
      <c r="M49" s="1460">
        <f t="shared" si="12"/>
        <v>21.38072</v>
      </c>
      <c r="N49" s="1422">
        <f t="shared" si="12"/>
        <v>2719.8781400000003</v>
      </c>
      <c r="O49" s="1461">
        <f t="shared" si="12"/>
        <v>12980.944959999999</v>
      </c>
      <c r="P49" s="1422">
        <f t="shared" si="12"/>
        <v>34731.628719999993</v>
      </c>
      <c r="Q49" s="883">
        <f>SUM(Q50:Q59)</f>
        <v>33514.012860000003</v>
      </c>
      <c r="R49" s="882">
        <f t="shared" si="2"/>
        <v>1217.6158599999908</v>
      </c>
    </row>
    <row r="50" spans="1:18">
      <c r="A50" s="1417"/>
      <c r="B50" s="1462" t="s">
        <v>524</v>
      </c>
      <c r="C50" s="1419">
        <f>'св-во Ш1 факт'!L30</f>
        <v>170.423</v>
      </c>
      <c r="D50" s="1420">
        <f>'св-во Ш2,3 факт'!K39</f>
        <v>5.2249999999999996</v>
      </c>
      <c r="E50" s="1420">
        <f>'св-во Ш2,3 факт'!O39</f>
        <v>151.97127999999998</v>
      </c>
      <c r="F50" s="1419">
        <f>'КРС факт'!K34</f>
        <v>16.545000000000002</v>
      </c>
      <c r="G50" s="1420">
        <f>'КРС факт'!H34</f>
        <v>263.46305000000001</v>
      </c>
      <c r="H50" s="1420">
        <v>6</v>
      </c>
      <c r="I50" s="1421">
        <f>'пром.пр-ва факт'!H34</f>
        <v>3389.2459100000001</v>
      </c>
      <c r="J50" s="1420">
        <f t="shared" si="11"/>
        <v>4002.8732399999999</v>
      </c>
      <c r="K50" s="1427">
        <f>'вспом.пр-ва факт'!AC31</f>
        <v>3953.3728700000001</v>
      </c>
      <c r="L50" s="1420">
        <f>'вспом.пр-ва факт'!AG31</f>
        <v>1229.03162</v>
      </c>
      <c r="M50" s="1427">
        <f>'вспом.пр-ва факт'!AL31</f>
        <v>21.38072</v>
      </c>
      <c r="N50" s="1427">
        <f>'вспом.пр-ва факт'!AK31</f>
        <v>2395.0807100000002</v>
      </c>
      <c r="O50" s="1427">
        <f>'вспом.пр-ва факт'!AM31</f>
        <v>5396.1758300000001</v>
      </c>
      <c r="P50" s="1444">
        <f t="shared" ref="P50:P59" si="13">SUM(J50:O50)</f>
        <v>16997.914989999997</v>
      </c>
      <c r="Q50" s="884">
        <f>'произв. план'!P50</f>
        <v>26356.01</v>
      </c>
      <c r="R50" s="882">
        <f t="shared" si="2"/>
        <v>-9358.0950100000009</v>
      </c>
    </row>
    <row r="51" spans="1:18">
      <c r="A51" s="1417"/>
      <c r="B51" s="1464" t="s">
        <v>80</v>
      </c>
      <c r="C51" s="1419"/>
      <c r="D51" s="1420"/>
      <c r="E51" s="1420"/>
      <c r="F51" s="1419"/>
      <c r="G51" s="1420"/>
      <c r="H51" s="1420"/>
      <c r="I51" s="1421"/>
      <c r="J51" s="1420">
        <f t="shared" si="11"/>
        <v>0</v>
      </c>
      <c r="K51" s="1427"/>
      <c r="L51" s="1427"/>
      <c r="M51" s="1427"/>
      <c r="N51" s="1427"/>
      <c r="O51" s="1427"/>
      <c r="P51" s="1444">
        <f t="shared" si="13"/>
        <v>0</v>
      </c>
      <c r="Q51" s="884">
        <f>'произв. план'!P51</f>
        <v>0</v>
      </c>
      <c r="R51" s="882">
        <f t="shared" si="2"/>
        <v>0</v>
      </c>
    </row>
    <row r="52" spans="1:18">
      <c r="A52" s="1417"/>
      <c r="B52" s="1465" t="s">
        <v>131</v>
      </c>
      <c r="C52" s="1419"/>
      <c r="D52" s="1420">
        <f>'св-во Ш2,3 факт'!K41</f>
        <v>0</v>
      </c>
      <c r="E52" s="1420"/>
      <c r="F52" s="1419"/>
      <c r="G52" s="1420">
        <f>'КРС факт'!H35</f>
        <v>9.9</v>
      </c>
      <c r="H52" s="1420"/>
      <c r="I52" s="1421">
        <f>'[1]пром.пр-во'!H34</f>
        <v>0</v>
      </c>
      <c r="J52" s="1420">
        <f t="shared" si="11"/>
        <v>9.9</v>
      </c>
      <c r="K52" s="1427">
        <f>'вспом.пр-ва факт'!AC33</f>
        <v>0</v>
      </c>
      <c r="L52" s="1420">
        <f>'вспом.пр-ва факт'!AG33</f>
        <v>46.250999999999998</v>
      </c>
      <c r="M52" s="1427"/>
      <c r="N52" s="1427">
        <f>'вспом.пр-ва факт'!AK33</f>
        <v>0</v>
      </c>
      <c r="O52" s="1427">
        <f>'вспом.пр-ва факт'!AM33</f>
        <v>3954.2925700000001</v>
      </c>
      <c r="P52" s="1444">
        <f t="shared" si="13"/>
        <v>4010.4435699999999</v>
      </c>
      <c r="Q52" s="884">
        <f>'произв. план'!P52</f>
        <v>3051.8028599999998</v>
      </c>
      <c r="R52" s="882">
        <f t="shared" si="2"/>
        <v>958.64071000000013</v>
      </c>
    </row>
    <row r="53" spans="1:18">
      <c r="A53" s="1417"/>
      <c r="B53" s="1466" t="s">
        <v>82</v>
      </c>
      <c r="C53" s="1419"/>
      <c r="D53" s="1420"/>
      <c r="E53" s="1420"/>
      <c r="F53" s="1419"/>
      <c r="G53" s="1420"/>
      <c r="H53" s="1420"/>
      <c r="I53" s="1421">
        <f>'[1]пром.пр-во'!H35</f>
        <v>0</v>
      </c>
      <c r="J53" s="1420">
        <f t="shared" si="11"/>
        <v>0</v>
      </c>
      <c r="K53" s="1427">
        <f>'вспом.пр-ва факт'!AC34</f>
        <v>0</v>
      </c>
      <c r="L53" s="1420"/>
      <c r="M53" s="1427"/>
      <c r="N53" s="1427">
        <f>'вспом.пр-ва факт'!AK34</f>
        <v>46.31859</v>
      </c>
      <c r="O53" s="1427">
        <f>'вспом.пр-ва факт'!AM34</f>
        <v>0</v>
      </c>
      <c r="P53" s="1444">
        <f t="shared" si="13"/>
        <v>46.31859</v>
      </c>
      <c r="Q53" s="884">
        <f>'произв. план'!P53</f>
        <v>40.5</v>
      </c>
      <c r="R53" s="882">
        <f t="shared" si="2"/>
        <v>5.8185900000000004</v>
      </c>
    </row>
    <row r="54" spans="1:18">
      <c r="A54" s="1397"/>
      <c r="B54" s="1466" t="s">
        <v>83</v>
      </c>
      <c r="C54" s="1419"/>
      <c r="D54" s="1420"/>
      <c r="E54" s="1420"/>
      <c r="F54" s="1419"/>
      <c r="G54" s="1420"/>
      <c r="H54" s="1420"/>
      <c r="I54" s="1421">
        <f>'[1]пром.пр-во'!H36</f>
        <v>0</v>
      </c>
      <c r="J54" s="1420">
        <f t="shared" si="11"/>
        <v>0</v>
      </c>
      <c r="K54" s="1427">
        <f>'вспом.пр-ва факт'!AC35</f>
        <v>0</v>
      </c>
      <c r="L54" s="1420"/>
      <c r="M54" s="1427"/>
      <c r="N54" s="1427">
        <f>'вспом.пр-ва факт'!AK35</f>
        <v>9.4</v>
      </c>
      <c r="O54" s="1427">
        <f>'вспом.пр-ва факт'!AM35</f>
        <v>0</v>
      </c>
      <c r="P54" s="1444">
        <f t="shared" si="13"/>
        <v>9.4</v>
      </c>
      <c r="Q54" s="884">
        <f>'произв. план'!P54</f>
        <v>267</v>
      </c>
      <c r="R54" s="882">
        <f t="shared" si="2"/>
        <v>-257.60000000000002</v>
      </c>
    </row>
    <row r="55" spans="1:18" s="880" customFormat="1" ht="22.5">
      <c r="A55" s="1397"/>
      <c r="B55" s="1462" t="s">
        <v>132</v>
      </c>
      <c r="C55" s="1419"/>
      <c r="D55" s="1420"/>
      <c r="E55" s="1420"/>
      <c r="F55" s="1419"/>
      <c r="G55" s="1420"/>
      <c r="H55" s="1420"/>
      <c r="I55" s="1421">
        <f>'[1]пром.пр-во'!H37</f>
        <v>0</v>
      </c>
      <c r="J55" s="1420">
        <f t="shared" si="11"/>
        <v>0</v>
      </c>
      <c r="K55" s="1427">
        <f>'вспом.пр-ва факт'!AC36</f>
        <v>0</v>
      </c>
      <c r="L55" s="1420"/>
      <c r="M55" s="1427"/>
      <c r="N55" s="1427"/>
      <c r="O55" s="1427">
        <f>'вспом.пр-ва факт'!AM36</f>
        <v>1014.40369</v>
      </c>
      <c r="P55" s="1444">
        <f t="shared" si="13"/>
        <v>1014.40369</v>
      </c>
      <c r="Q55" s="884">
        <f>'произв. план'!P55</f>
        <v>666</v>
      </c>
      <c r="R55" s="882">
        <f t="shared" si="2"/>
        <v>348.40368999999998</v>
      </c>
    </row>
    <row r="56" spans="1:18" s="880" customFormat="1" ht="11.25">
      <c r="A56" s="1397"/>
      <c r="B56" s="1465" t="s">
        <v>85</v>
      </c>
      <c r="C56" s="1419"/>
      <c r="D56" s="1420"/>
      <c r="E56" s="1420"/>
      <c r="F56" s="1419"/>
      <c r="G56" s="1420"/>
      <c r="H56" s="1420"/>
      <c r="I56" s="1421"/>
      <c r="J56" s="1420">
        <f t="shared" si="11"/>
        <v>0</v>
      </c>
      <c r="K56" s="1427">
        <f>'вспом.пр-ва факт'!AC37</f>
        <v>0</v>
      </c>
      <c r="L56" s="1420"/>
      <c r="M56" s="1427"/>
      <c r="N56" s="1427">
        <f>'вспом.пр-ва факт'!AK37</f>
        <v>269.07884000000001</v>
      </c>
      <c r="O56" s="1427"/>
      <c r="P56" s="1444">
        <f t="shared" si="13"/>
        <v>269.07884000000001</v>
      </c>
      <c r="Q56" s="884">
        <f>'произв. план'!P56</f>
        <v>191.7</v>
      </c>
      <c r="R56" s="882">
        <f t="shared" si="2"/>
        <v>77.378840000000025</v>
      </c>
    </row>
    <row r="57" spans="1:18" s="880" customFormat="1" ht="11.25">
      <c r="A57" s="1397"/>
      <c r="B57" s="1465" t="s">
        <v>86</v>
      </c>
      <c r="C57" s="1419"/>
      <c r="D57" s="1467"/>
      <c r="E57" s="1467"/>
      <c r="F57" s="1419"/>
      <c r="G57" s="1467"/>
      <c r="H57" s="1467"/>
      <c r="I57" s="1421"/>
      <c r="J57" s="1420">
        <f t="shared" si="11"/>
        <v>0</v>
      </c>
      <c r="K57" s="1427">
        <f>'вспом.пр-ва факт'!AC38</f>
        <v>0</v>
      </c>
      <c r="L57" s="1420"/>
      <c r="M57" s="1427"/>
      <c r="N57" s="1427"/>
      <c r="O57" s="1427">
        <f>'вспом.пр-ва факт'!AM38</f>
        <v>2616.07287</v>
      </c>
      <c r="P57" s="1444">
        <f t="shared" si="13"/>
        <v>2616.07287</v>
      </c>
      <c r="Q57" s="884">
        <f>'произв. план'!P57</f>
        <v>2866</v>
      </c>
      <c r="R57" s="882">
        <f t="shared" si="2"/>
        <v>-249.92713000000003</v>
      </c>
    </row>
    <row r="58" spans="1:18" s="880" customFormat="1" ht="11.25">
      <c r="A58" s="1397"/>
      <c r="B58" s="1465" t="s">
        <v>87</v>
      </c>
      <c r="C58" s="1419"/>
      <c r="D58" s="1467"/>
      <c r="E58" s="1467"/>
      <c r="F58" s="1419"/>
      <c r="G58" s="1467"/>
      <c r="H58" s="1467"/>
      <c r="I58" s="1421"/>
      <c r="J58" s="1420">
        <f t="shared" si="11"/>
        <v>0</v>
      </c>
      <c r="K58" s="1427">
        <f>'вспом.пр-ва факт'!AC39</f>
        <v>0</v>
      </c>
      <c r="L58" s="1420"/>
      <c r="M58" s="1427"/>
      <c r="N58" s="1427"/>
      <c r="O58" s="1427"/>
      <c r="P58" s="1444">
        <f t="shared" si="13"/>
        <v>0</v>
      </c>
      <c r="Q58" s="884">
        <f>'произв. план'!P58</f>
        <v>0</v>
      </c>
      <c r="R58" s="882">
        <f t="shared" si="2"/>
        <v>0</v>
      </c>
    </row>
    <row r="59" spans="1:18" s="880" customFormat="1" ht="12" thickBot="1">
      <c r="A59" s="1397"/>
      <c r="B59" s="1465" t="s">
        <v>88</v>
      </c>
      <c r="C59" s="1419">
        <f>'св-во Ш1 факт'!L34</f>
        <v>2653.5338599999995</v>
      </c>
      <c r="D59" s="1420">
        <f>'св-во Ш2,3 факт'!K43</f>
        <v>4952.3565699999999</v>
      </c>
      <c r="E59" s="1420">
        <f>'св-во Ш2,3 факт'!O43</f>
        <v>1989.6105</v>
      </c>
      <c r="F59" s="1419">
        <f>'КРС факт'!K38</f>
        <v>165.874</v>
      </c>
      <c r="G59" s="1420">
        <f>'КРС факт'!H38</f>
        <v>0</v>
      </c>
      <c r="H59" s="1468"/>
      <c r="I59" s="1421">
        <f>'[1]пром.пр-во'!H38</f>
        <v>0</v>
      </c>
      <c r="J59" s="1420">
        <f t="shared" si="11"/>
        <v>9761.3749299999999</v>
      </c>
      <c r="K59" s="1427">
        <f>'вспом.пр-ва факт'!AC40</f>
        <v>6.6212400000000002</v>
      </c>
      <c r="L59" s="1420"/>
      <c r="M59" s="1427"/>
      <c r="N59" s="1427"/>
      <c r="O59" s="1427"/>
      <c r="P59" s="1444">
        <f t="shared" si="13"/>
        <v>9767.9961700000003</v>
      </c>
      <c r="Q59" s="884">
        <f>'произв. план'!P59</f>
        <v>75</v>
      </c>
      <c r="R59" s="882">
        <f t="shared" si="2"/>
        <v>9692.9961700000003</v>
      </c>
    </row>
    <row r="60" spans="1:18" s="880" customFormat="1" ht="11.25" thickBot="1">
      <c r="A60" s="1470"/>
      <c r="B60" s="1470" t="s">
        <v>18</v>
      </c>
      <c r="C60" s="1471">
        <f t="shared" ref="C60:P60" si="14">C49+C45+C44+C43+C42+C7</f>
        <v>120206.03324999999</v>
      </c>
      <c r="D60" s="1471">
        <f t="shared" si="14"/>
        <v>94594.417160000012</v>
      </c>
      <c r="E60" s="1472">
        <f t="shared" si="14"/>
        <v>105569.695634</v>
      </c>
      <c r="F60" s="1472">
        <f>F49+F45+F44+F43+F42+F7</f>
        <v>7662.3506799999996</v>
      </c>
      <c r="G60" s="1472">
        <f t="shared" si="14"/>
        <v>10521.834669</v>
      </c>
      <c r="H60" s="1472">
        <f>H49+H45+H44+H43+H42+H7</f>
        <v>370.63951000000003</v>
      </c>
      <c r="I60" s="1473">
        <f t="shared" si="14"/>
        <v>105796.93297999998</v>
      </c>
      <c r="J60" s="1474">
        <f t="shared" si="14"/>
        <v>444721.90388300002</v>
      </c>
      <c r="K60" s="1473">
        <f t="shared" si="14"/>
        <v>116840.70834999999</v>
      </c>
      <c r="L60" s="1475">
        <f>L49+L45+L44+L43+L42+L7</f>
        <v>33861.402770000001</v>
      </c>
      <c r="M60" s="1473">
        <f t="shared" si="14"/>
        <v>4215.50389</v>
      </c>
      <c r="N60" s="1475">
        <f t="shared" si="14"/>
        <v>40248.334662399997</v>
      </c>
      <c r="O60" s="1476">
        <f t="shared" si="14"/>
        <v>44452.887259999996</v>
      </c>
      <c r="P60" s="1477">
        <f t="shared" si="14"/>
        <v>684340.74081540003</v>
      </c>
      <c r="Q60" s="889">
        <f>Q49+Q45+Q44+Q43+Q42+Q7</f>
        <v>642389.15253190394</v>
      </c>
      <c r="R60" s="882">
        <f t="shared" si="2"/>
        <v>41951.588283496094</v>
      </c>
    </row>
    <row r="61" spans="1:18" s="880" customFormat="1" ht="11.25">
      <c r="A61" s="1479"/>
      <c r="B61" s="1480" t="s">
        <v>102</v>
      </c>
      <c r="C61" s="1481"/>
      <c r="D61" s="1482">
        <f>SUM(D63:D66)</f>
        <v>0</v>
      </c>
      <c r="E61" s="1482">
        <f>SUM(E63:E66)</f>
        <v>0</v>
      </c>
      <c r="F61" s="1481"/>
      <c r="G61" s="1482"/>
      <c r="H61" s="1482"/>
      <c r="I61" s="1483">
        <f>SUM(I63:I66)</f>
        <v>0</v>
      </c>
      <c r="J61" s="1482">
        <f t="shared" ref="J61:J70" si="15">SUM(C61:I61)</f>
        <v>0</v>
      </c>
      <c r="K61" s="1483"/>
      <c r="L61" s="1482"/>
      <c r="M61" s="1483"/>
      <c r="N61" s="1482"/>
      <c r="O61" s="1484"/>
      <c r="P61" s="1485">
        <f>SUM(K61:O61)</f>
        <v>0</v>
      </c>
      <c r="Q61" s="890">
        <f>'произв. план'!P61</f>
        <v>0</v>
      </c>
      <c r="R61" s="882">
        <f t="shared" si="2"/>
        <v>0</v>
      </c>
    </row>
    <row r="62" spans="1:18" s="880" customFormat="1" ht="11.25">
      <c r="A62" s="1495"/>
      <c r="B62" s="1489" t="s">
        <v>653</v>
      </c>
      <c r="C62" s="1486"/>
      <c r="D62" s="1487"/>
      <c r="E62" s="1487"/>
      <c r="F62" s="1486"/>
      <c r="G62" s="1487"/>
      <c r="H62" s="1487"/>
      <c r="I62" s="1497"/>
      <c r="J62" s="1456">
        <f t="shared" si="15"/>
        <v>0</v>
      </c>
      <c r="K62" s="1497"/>
      <c r="L62" s="1487"/>
      <c r="M62" s="1497"/>
      <c r="N62" s="1487"/>
      <c r="O62" s="1497"/>
      <c r="P62" s="1713"/>
      <c r="Q62" s="890"/>
      <c r="R62" s="882"/>
    </row>
    <row r="63" spans="1:18">
      <c r="A63" s="1488"/>
      <c r="B63" s="1489" t="s">
        <v>636</v>
      </c>
      <c r="C63" s="1423"/>
      <c r="D63" s="1490"/>
      <c r="E63" s="1490"/>
      <c r="F63" s="1423"/>
      <c r="G63" s="1490"/>
      <c r="H63" s="1490"/>
      <c r="I63" s="1491"/>
      <c r="J63" s="1456">
        <f t="shared" si="15"/>
        <v>0</v>
      </c>
      <c r="K63" s="1492">
        <f>C68</f>
        <v>20301.98803</v>
      </c>
      <c r="L63" s="1492">
        <f>'вспом.пр-ва факт'!AE54</f>
        <v>22580.720060000003</v>
      </c>
      <c r="M63" s="1493"/>
      <c r="N63" s="1492">
        <f>C71</f>
        <v>8077.6404500000008</v>
      </c>
      <c r="O63" s="1493"/>
      <c r="P63" s="1494">
        <f>C73</f>
        <v>171166.38178999998</v>
      </c>
      <c r="Q63" s="890">
        <f>'произв. план'!P62</f>
        <v>163770.44755232244</v>
      </c>
      <c r="R63" s="882">
        <f t="shared" si="2"/>
        <v>7395.9342376775458</v>
      </c>
    </row>
    <row r="64" spans="1:18" s="880" customFormat="1" ht="11.25">
      <c r="A64" s="1488"/>
      <c r="B64" s="1489" t="s">
        <v>461</v>
      </c>
      <c r="C64" s="1423"/>
      <c r="D64" s="1490"/>
      <c r="E64" s="1490"/>
      <c r="F64" s="1423"/>
      <c r="G64" s="1490"/>
      <c r="H64" s="1490"/>
      <c r="I64" s="1491"/>
      <c r="J64" s="1456"/>
      <c r="K64" s="1492">
        <f>D68</f>
        <v>10971.655199999999</v>
      </c>
      <c r="L64" s="1492">
        <f>'вспом.пр-ва факт'!AF54</f>
        <v>14652.48605</v>
      </c>
      <c r="M64" s="1493"/>
      <c r="N64" s="1492">
        <f>D71</f>
        <v>8431.1176100000012</v>
      </c>
      <c r="O64" s="1493"/>
      <c r="P64" s="1494">
        <f>D75</f>
        <v>128649.73491000001</v>
      </c>
      <c r="Q64" s="890">
        <f>'произв. план'!P63</f>
        <v>116973.70266702477</v>
      </c>
      <c r="R64" s="882">
        <f t="shared" si="2"/>
        <v>11676.032242975241</v>
      </c>
    </row>
    <row r="65" spans="1:18" s="880" customFormat="1" ht="11.25">
      <c r="A65" s="1488"/>
      <c r="B65" s="1489" t="s">
        <v>462</v>
      </c>
      <c r="C65" s="1423"/>
      <c r="D65" s="1490"/>
      <c r="E65" s="1490"/>
      <c r="F65" s="1423"/>
      <c r="G65" s="1490"/>
      <c r="H65" s="1490"/>
      <c r="I65" s="1491"/>
      <c r="J65" s="1456"/>
      <c r="K65" s="1492">
        <f>E68</f>
        <v>10543.414610000002</v>
      </c>
      <c r="L65" s="1492"/>
      <c r="M65" s="1493"/>
      <c r="N65" s="1492">
        <f>E71</f>
        <v>7912.1775399999997</v>
      </c>
      <c r="O65" s="1493"/>
      <c r="P65" s="1494">
        <f>E73</f>
        <v>124025.28778400001</v>
      </c>
      <c r="Q65" s="890">
        <f>'произв. план'!P64</f>
        <v>133071.01497368416</v>
      </c>
      <c r="R65" s="882">
        <f t="shared" si="2"/>
        <v>-9045.7271896841412</v>
      </c>
    </row>
    <row r="66" spans="1:18" s="880" customFormat="1" ht="11.25">
      <c r="A66" s="1495"/>
      <c r="B66" s="1496" t="s">
        <v>134</v>
      </c>
      <c r="C66" s="1423"/>
      <c r="D66" s="1490"/>
      <c r="E66" s="1490"/>
      <c r="F66" s="1423"/>
      <c r="G66" s="1490"/>
      <c r="H66" s="1490"/>
      <c r="I66" s="1497"/>
      <c r="J66" s="1424">
        <f t="shared" si="15"/>
        <v>0</v>
      </c>
      <c r="K66" s="1498">
        <f>I68</f>
        <v>28765.319679999997</v>
      </c>
      <c r="L66" s="1499"/>
      <c r="M66" s="1500"/>
      <c r="N66" s="1501">
        <f>I71</f>
        <v>22209.596239999999</v>
      </c>
      <c r="O66" s="1502">
        <f>O73</f>
        <v>48894.071739999999</v>
      </c>
      <c r="P66" s="1494">
        <f>I73</f>
        <v>156771.84889999998</v>
      </c>
      <c r="Q66" s="890">
        <f>'произв. план'!P65</f>
        <v>147724.67663910519</v>
      </c>
      <c r="R66" s="882">
        <f t="shared" si="2"/>
        <v>9047.1722608947894</v>
      </c>
    </row>
    <row r="67" spans="1:18">
      <c r="A67" s="1495"/>
      <c r="B67" s="1489" t="s">
        <v>637</v>
      </c>
      <c r="C67" s="1423"/>
      <c r="D67" s="1490"/>
      <c r="E67" s="1490"/>
      <c r="F67" s="1423"/>
      <c r="G67" s="1490"/>
      <c r="H67" s="1490"/>
      <c r="I67" s="1497"/>
      <c r="J67" s="1424"/>
      <c r="K67" s="1502">
        <f>F68+G68</f>
        <v>1079.02664</v>
      </c>
      <c r="L67" s="1499">
        <f>'вспом.пр-ва факт'!AD54</f>
        <v>7091.9671399999997</v>
      </c>
      <c r="M67" s="1500"/>
      <c r="N67" s="1501">
        <f>F71+G71</f>
        <v>1824.7934400000001</v>
      </c>
      <c r="O67" s="1502"/>
      <c r="P67" s="1494">
        <f>F73+G73</f>
        <v>28179.972569000001</v>
      </c>
      <c r="Q67" s="890">
        <f>'произв. план'!P66</f>
        <v>30667.634521343953</v>
      </c>
      <c r="R67" s="882">
        <f t="shared" si="2"/>
        <v>-2487.6619523439513</v>
      </c>
    </row>
    <row r="68" spans="1:18" s="880" customFormat="1" ht="12" thickBot="1">
      <c r="A68" s="1503"/>
      <c r="B68" s="1454" t="s">
        <v>89</v>
      </c>
      <c r="C68" s="1455">
        <f>'св-во Ш1 факт'!L43</f>
        <v>20301.98803</v>
      </c>
      <c r="D68" s="1490">
        <f>'св-во Ш2,3 факт'!K52</f>
        <v>10971.655199999999</v>
      </c>
      <c r="E68" s="1490">
        <f>'св-во Ш2,3 факт'!O52</f>
        <v>10543.414610000002</v>
      </c>
      <c r="F68" s="1455">
        <f>'КРС факт'!K47</f>
        <v>154.58655999999999</v>
      </c>
      <c r="G68" s="1490">
        <f>'КРС факт'!H47</f>
        <v>924.44007999999997</v>
      </c>
      <c r="H68" s="1490">
        <f>'вспом.пр-ва факт'!AC81</f>
        <v>2378.3972800000001</v>
      </c>
      <c r="I68" s="1460">
        <f>'пром.пр-ва факт'!H50</f>
        <v>28765.319679999997</v>
      </c>
      <c r="J68" s="1456">
        <f>SUM(C68:I68)</f>
        <v>74039.801439999996</v>
      </c>
      <c r="K68" s="1501">
        <f>'вспом.пр-ва факт'!AC42</f>
        <v>14232.534230000001</v>
      </c>
      <c r="L68" s="1424">
        <f>'вспом.пр-ва факт'!AG42</f>
        <v>9202.3237499999996</v>
      </c>
      <c r="M68" s="1505">
        <f>'вспом.пр-ва факт'!AL42</f>
        <v>864.02564000000007</v>
      </c>
      <c r="N68" s="1424">
        <f>'вспом.пр-ва факт'!AK42</f>
        <v>8240.705179999999</v>
      </c>
      <c r="O68" s="1506">
        <f>'вспом.пр-ва факт'!AM42</f>
        <v>4441.1844799999999</v>
      </c>
      <c r="P68" s="1494">
        <f>K73</f>
        <v>131073.24257999999</v>
      </c>
      <c r="Q68" s="890">
        <f>'произв. план'!P67</f>
        <v>101120.75489281502</v>
      </c>
      <c r="R68" s="882">
        <f t="shared" si="2"/>
        <v>29952.48768718497</v>
      </c>
    </row>
    <row r="69" spans="1:18" ht="13.5" thickBot="1">
      <c r="A69" s="1507"/>
      <c r="B69" s="1465" t="s">
        <v>107</v>
      </c>
      <c r="C69" s="1455">
        <f>'св-во Ш1 факт'!L44</f>
        <v>22580.72006</v>
      </c>
      <c r="D69" s="1490">
        <f>'св-во Ш2,3 факт'!K53</f>
        <v>14652.54494</v>
      </c>
      <c r="E69" s="1490">
        <f>'св-во Ш2,3 факт'!O53</f>
        <v>0</v>
      </c>
      <c r="F69" s="1455">
        <f>'КРС факт'!K48</f>
        <v>2519.8399800000002</v>
      </c>
      <c r="G69" s="1508">
        <f>'КРС факт'!H48</f>
        <v>4572.12716</v>
      </c>
      <c r="H69" s="1490"/>
      <c r="I69" s="1421">
        <f>'пром.пр-ва факт'!H51</f>
        <v>0</v>
      </c>
      <c r="J69" s="1510">
        <f t="shared" si="15"/>
        <v>44325.232139999993</v>
      </c>
      <c r="K69" s="1501">
        <f>L68</f>
        <v>9202.3237499999996</v>
      </c>
      <c r="L69" s="1511"/>
      <c r="M69" s="1512"/>
      <c r="N69" s="1511"/>
      <c r="O69" s="1513"/>
      <c r="P69" s="1494">
        <f>L73</f>
        <v>43063.726519999997</v>
      </c>
      <c r="Q69" s="891">
        <f>'произв. план'!P68</f>
        <v>36841.071936934059</v>
      </c>
      <c r="R69" s="882">
        <f t="shared" si="2"/>
        <v>6222.6545830659379</v>
      </c>
    </row>
    <row r="70" spans="1:18" s="880" customFormat="1" ht="11.25" thickBot="1">
      <c r="A70" s="1515"/>
      <c r="B70" s="1516" t="s">
        <v>108</v>
      </c>
      <c r="C70" s="1478">
        <f t="shared" ref="C70:I70" si="16">C60+C61+C68+C69</f>
        <v>163088.74133999998</v>
      </c>
      <c r="D70" s="1517">
        <f t="shared" si="16"/>
        <v>120218.61730000001</v>
      </c>
      <c r="E70" s="1517">
        <f t="shared" si="16"/>
        <v>116113.11024400001</v>
      </c>
      <c r="F70" s="1517">
        <f t="shared" si="16"/>
        <v>10336.77722</v>
      </c>
      <c r="G70" s="1517">
        <f t="shared" si="16"/>
        <v>16018.401909</v>
      </c>
      <c r="H70" s="1517">
        <f t="shared" si="16"/>
        <v>2749.0367900000001</v>
      </c>
      <c r="I70" s="1518">
        <f t="shared" si="16"/>
        <v>134562.25265999997</v>
      </c>
      <c r="J70" s="1517">
        <f t="shared" si="15"/>
        <v>563086.93746299995</v>
      </c>
      <c r="K70" s="1519">
        <f>K60+K68</f>
        <v>131073.24257999999</v>
      </c>
      <c r="L70" s="1517">
        <f>L60+L68+L69</f>
        <v>43063.726519999997</v>
      </c>
      <c r="M70" s="1519">
        <f>M60+M68+M69</f>
        <v>5079.5295299999998</v>
      </c>
      <c r="N70" s="1517">
        <f>N60+N68</f>
        <v>48489.039842399994</v>
      </c>
      <c r="O70" s="1518">
        <f>O60+O68+O69</f>
        <v>48894.071739999999</v>
      </c>
      <c r="P70" s="1520"/>
      <c r="Q70" s="890">
        <f>'произв. план'!P69</f>
        <v>0</v>
      </c>
      <c r="R70" s="882">
        <f t="shared" si="2"/>
        <v>0</v>
      </c>
    </row>
    <row r="71" spans="1:18">
      <c r="A71" s="1495"/>
      <c r="B71" s="1521" t="s">
        <v>110</v>
      </c>
      <c r="C71" s="1522">
        <f>'св-во Ш1 факт'!L46</f>
        <v>8077.6404500000008</v>
      </c>
      <c r="D71" s="1490">
        <f>'св-во Ш2,3 факт'!K55</f>
        <v>8431.1176100000012</v>
      </c>
      <c r="E71" s="1490">
        <f>'св-во Ш2,3 факт'!O55</f>
        <v>7912.1775399999997</v>
      </c>
      <c r="F71" s="1490">
        <f>'КРС факт'!K50</f>
        <v>656.03988000000004</v>
      </c>
      <c r="G71" s="1490">
        <f>'КРС факт'!H50</f>
        <v>1168.7535600000001</v>
      </c>
      <c r="H71" s="1490">
        <f>'вспом.пр-ва факт'!AK81</f>
        <v>895.06322999999998</v>
      </c>
      <c r="I71" s="1522">
        <f>'пром.пр-ва факт'!H54</f>
        <v>22209.596239999999</v>
      </c>
      <c r="J71" s="1490">
        <f>SUM(C71:I71)</f>
        <v>49350.388510000004</v>
      </c>
      <c r="K71" s="1523">
        <f>N68</f>
        <v>8240.705179999999</v>
      </c>
      <c r="L71" s="1487"/>
      <c r="M71" s="1523">
        <f>'[1]затраты вспом.'!AK53</f>
        <v>2174.6</v>
      </c>
      <c r="N71" s="1487"/>
      <c r="O71" s="1524"/>
      <c r="P71" s="1525">
        <f>N73</f>
        <v>50663.639842399993</v>
      </c>
      <c r="Q71" s="890">
        <f>'произв. план'!P70</f>
        <v>36752.40627889349</v>
      </c>
      <c r="R71" s="882">
        <f t="shared" si="2"/>
        <v>13911.233563506503</v>
      </c>
    </row>
    <row r="72" spans="1:18" ht="23.25" thickBot="1">
      <c r="A72" s="1526"/>
      <c r="B72" s="1462" t="s">
        <v>111</v>
      </c>
      <c r="C72" s="1469"/>
      <c r="D72" s="1510"/>
      <c r="E72" s="1510"/>
      <c r="F72" s="1469"/>
      <c r="G72" s="1510"/>
      <c r="H72" s="1510"/>
      <c r="I72" s="1505"/>
      <c r="J72" s="1527"/>
      <c r="K72" s="1501"/>
      <c r="L72" s="1424"/>
      <c r="M72" s="1505"/>
      <c r="N72" s="1456">
        <f>M71</f>
        <v>2174.6</v>
      </c>
      <c r="O72" s="1506"/>
      <c r="P72" s="1494">
        <f>M73</f>
        <v>5079.5295299999998</v>
      </c>
      <c r="Q72" s="890"/>
      <c r="R72" s="882">
        <f t="shared" si="2"/>
        <v>5079.5295299999998</v>
      </c>
    </row>
    <row r="73" spans="1:18" s="880" customFormat="1" ht="21.75" thickBot="1">
      <c r="A73" s="1528"/>
      <c r="B73" s="1529" t="s">
        <v>112</v>
      </c>
      <c r="C73" s="1530">
        <f>C70+C71+C72</f>
        <v>171166.38178999998</v>
      </c>
      <c r="D73" s="1530">
        <f>D70+D71+D72</f>
        <v>128649.73491000001</v>
      </c>
      <c r="E73" s="1531">
        <f>E70+E71+E72</f>
        <v>124025.28778400001</v>
      </c>
      <c r="F73" s="1531">
        <f t="shared" ref="F73:H73" si="17">F70+F71+F72</f>
        <v>10992.8171</v>
      </c>
      <c r="G73" s="1531">
        <f t="shared" si="17"/>
        <v>17187.155469000001</v>
      </c>
      <c r="H73" s="1531">
        <f t="shared" si="17"/>
        <v>3644.1000199999999</v>
      </c>
      <c r="I73" s="1532">
        <f>I70+I71+I72</f>
        <v>156771.84889999998</v>
      </c>
      <c r="J73" s="1533">
        <f>SUM(C73:I73)</f>
        <v>612437.32597300003</v>
      </c>
      <c r="K73" s="1530">
        <f>K70</f>
        <v>131073.24257999999</v>
      </c>
      <c r="L73" s="1534">
        <f>L70</f>
        <v>43063.726519999997</v>
      </c>
      <c r="M73" s="1535">
        <f>M70</f>
        <v>5079.5295299999998</v>
      </c>
      <c r="N73" s="1534">
        <f>N70+N71+N72</f>
        <v>50663.639842399993</v>
      </c>
      <c r="O73" s="1532">
        <f>O70+O71+O72</f>
        <v>48894.071739999999</v>
      </c>
      <c r="P73" s="1536"/>
      <c r="Q73" s="890"/>
      <c r="R73" s="882">
        <f t="shared" ref="R73:R78" si="18">P73-Q73</f>
        <v>0</v>
      </c>
    </row>
    <row r="74" spans="1:18" s="880" customFormat="1" ht="21.75" thickBot="1">
      <c r="A74" s="1528"/>
      <c r="B74" s="1537" t="s">
        <v>638</v>
      </c>
      <c r="C74" s="1538">
        <f>'св-во Ш1 факт'!L48</f>
        <v>0</v>
      </c>
      <c r="D74" s="1539">
        <f>'[1]затраты св-во шув-2'!K47</f>
        <v>0</v>
      </c>
      <c r="E74" s="1539">
        <f>'[1]затраты св-во шув-2'!L47</f>
        <v>0</v>
      </c>
      <c r="F74" s="1538">
        <f>'КРС факт'!K52</f>
        <v>0</v>
      </c>
      <c r="G74" s="1539">
        <f>'КРС факт'!H52</f>
        <v>1718.7155469000002</v>
      </c>
      <c r="H74" s="1539"/>
      <c r="I74" s="1540"/>
      <c r="J74" s="1517"/>
      <c r="K74" s="1540"/>
      <c r="L74" s="1539"/>
      <c r="M74" s="1540"/>
      <c r="N74" s="1539"/>
      <c r="O74" s="1540"/>
      <c r="P74" s="1541"/>
      <c r="Q74" s="892"/>
      <c r="R74" s="882">
        <f t="shared" si="18"/>
        <v>0</v>
      </c>
    </row>
    <row r="75" spans="1:18" s="880" customFormat="1" ht="21.75" thickBot="1">
      <c r="A75" s="1528"/>
      <c r="B75" s="1529" t="s">
        <v>330</v>
      </c>
      <c r="C75" s="1535">
        <f>C73-C74</f>
        <v>171166.38178999998</v>
      </c>
      <c r="D75" s="1534">
        <f>D73-D74</f>
        <v>128649.73491000001</v>
      </c>
      <c r="E75" s="1534">
        <f>E73-E74</f>
        <v>124025.28778400001</v>
      </c>
      <c r="F75" s="1531">
        <f>F72+F73-F74</f>
        <v>10992.8171</v>
      </c>
      <c r="G75" s="1531">
        <f>G72+G73-G74</f>
        <v>15468.4399221</v>
      </c>
      <c r="H75" s="1534"/>
      <c r="I75" s="1535"/>
      <c r="J75" s="1533"/>
      <c r="K75" s="1535"/>
      <c r="L75" s="1534"/>
      <c r="M75" s="1535"/>
      <c r="N75" s="1534"/>
      <c r="O75" s="1535"/>
      <c r="P75" s="1536"/>
      <c r="Q75" s="893"/>
      <c r="R75" s="882">
        <f t="shared" si="18"/>
        <v>0</v>
      </c>
    </row>
    <row r="76" spans="1:18" s="880" customFormat="1" ht="21.75" thickBot="1">
      <c r="A76" s="1515"/>
      <c r="B76" s="1516" t="s">
        <v>109</v>
      </c>
      <c r="C76" s="1478">
        <f>C75/C3</f>
        <v>87.985306340600147</v>
      </c>
      <c r="D76" s="1517">
        <f>D75/D3</f>
        <v>108.19631876888671</v>
      </c>
      <c r="E76" s="1517">
        <f>E75/E3</f>
        <v>78.941705203580739</v>
      </c>
      <c r="F76" s="1517">
        <f>F75/F3</f>
        <v>277.4317538834278</v>
      </c>
      <c r="G76" s="1544">
        <f>G75/G4</f>
        <v>22.080107231500516</v>
      </c>
      <c r="H76" s="1517"/>
      <c r="I76" s="1519"/>
      <c r="J76" s="1517"/>
      <c r="K76" s="1519"/>
      <c r="L76" s="1517"/>
      <c r="M76" s="1519"/>
      <c r="N76" s="1517"/>
      <c r="O76" s="1545"/>
      <c r="P76" s="1520"/>
      <c r="Q76" s="890">
        <f>'произв. план'!P75</f>
        <v>0</v>
      </c>
      <c r="R76" s="882">
        <f t="shared" si="18"/>
        <v>0</v>
      </c>
    </row>
    <row r="77" spans="1:18" ht="13.5" thickBot="1">
      <c r="A77" s="1495"/>
      <c r="B77" s="1521" t="s">
        <v>135</v>
      </c>
      <c r="C77" s="1486"/>
      <c r="D77" s="1497"/>
      <c r="E77" s="1497"/>
      <c r="F77" s="1486"/>
      <c r="G77" s="1497"/>
      <c r="H77" s="1497"/>
      <c r="I77" s="1517">
        <f>'пром.пр-ва факт'!H59</f>
        <v>48053.507419999994</v>
      </c>
      <c r="J77" s="1424">
        <f>SUM(C77:I77)</f>
        <v>48053.507419999994</v>
      </c>
      <c r="K77" s="1546">
        <f>O68</f>
        <v>4441.1844799999999</v>
      </c>
      <c r="L77" s="1487"/>
      <c r="M77" s="1547"/>
      <c r="N77" s="1487"/>
      <c r="O77" s="1524"/>
      <c r="P77" s="1525">
        <f>O73</f>
        <v>48894.071739999999</v>
      </c>
      <c r="Q77" s="894"/>
      <c r="R77" s="882">
        <f t="shared" si="18"/>
        <v>48894.071739999999</v>
      </c>
    </row>
    <row r="78" spans="1:18" ht="13.5" thickBot="1">
      <c r="A78" s="1549"/>
      <c r="B78" s="1550" t="s">
        <v>331</v>
      </c>
      <c r="C78" s="1551"/>
      <c r="D78" s="1552"/>
      <c r="E78" s="1552"/>
      <c r="F78" s="1551"/>
      <c r="G78" s="1552"/>
      <c r="H78" s="1552"/>
      <c r="I78" s="1552"/>
      <c r="J78" s="1553"/>
      <c r="K78" s="1523">
        <f>'вспом.пр-ва факт'!AN116</f>
        <v>22122.252520000002</v>
      </c>
      <c r="L78" s="1554"/>
      <c r="M78" s="1523">
        <f>'[1]затраты вспом.'!AL116</f>
        <v>3608.8884757142282</v>
      </c>
      <c r="N78" s="1554"/>
      <c r="O78" s="1555"/>
      <c r="P78" s="1536"/>
      <c r="Q78" s="895"/>
      <c r="R78" s="882">
        <f t="shared" si="18"/>
        <v>0</v>
      </c>
    </row>
    <row r="79" spans="1:18" s="880" customFormat="1" ht="12" thickBot="1">
      <c r="A79" s="1558"/>
      <c r="B79" s="1559" t="s">
        <v>136</v>
      </c>
      <c r="C79" s="1560"/>
      <c r="D79" s="1561"/>
      <c r="E79" s="1561"/>
      <c r="F79" s="1560"/>
      <c r="G79" s="1561"/>
      <c r="H79" s="1561"/>
      <c r="I79" s="1561"/>
      <c r="J79" s="1562"/>
      <c r="K79" s="1563">
        <f>K63+K64+K65+K66+K68+K69+K71+K72+K77+K78</f>
        <v>128821.37768000001</v>
      </c>
      <c r="L79" s="1564">
        <f>L63+L64+L65+L66+L67</f>
        <v>44325.17325</v>
      </c>
      <c r="M79" s="1563">
        <f>M63+M66+M71+M78</f>
        <v>5783.4884757142281</v>
      </c>
      <c r="N79" s="1563">
        <f>N63+N64+N65+N66+N71+N78</f>
        <v>46630.531839999996</v>
      </c>
      <c r="O79" s="1563">
        <f>O63+O64+O66+O71+O78</f>
        <v>48894.071739999999</v>
      </c>
      <c r="P79" s="1520"/>
      <c r="R79" s="896">
        <f>M79-Q78</f>
        <v>5783.4884757142281</v>
      </c>
    </row>
    <row r="80" spans="1:18">
      <c r="P80" s="1566"/>
    </row>
    <row r="81" spans="2:15">
      <c r="C81" s="1396" t="s">
        <v>137</v>
      </c>
      <c r="K81" s="1396">
        <f>K73-K79</f>
        <v>2251.8648999999859</v>
      </c>
      <c r="L81" s="1396">
        <f>L73-L79</f>
        <v>-1261.4467300000033</v>
      </c>
      <c r="M81" s="1396">
        <f>M73-M79</f>
        <v>-703.95894571422832</v>
      </c>
      <c r="N81" s="1396">
        <f>N73-N79</f>
        <v>4033.1080023999966</v>
      </c>
      <c r="O81" s="1396">
        <f>O73-O79</f>
        <v>0</v>
      </c>
    </row>
    <row r="82" spans="2:15">
      <c r="C82" s="1396" t="s">
        <v>138</v>
      </c>
      <c r="J82" s="1396">
        <f>J73-J42</f>
        <v>577221.43856300006</v>
      </c>
    </row>
    <row r="83" spans="2:15">
      <c r="L83" s="1396" t="s">
        <v>346</v>
      </c>
    </row>
    <row r="84" spans="2:15">
      <c r="B84" s="1396" t="s">
        <v>347</v>
      </c>
      <c r="C84" s="1396">
        <f>C68+C60-C14-C15-C8-C11</f>
        <v>36355.940179999976</v>
      </c>
      <c r="D84" s="1396">
        <f t="shared" ref="D84:H84" si="19">D68+D60-D14-D15-D8-D11</f>
        <v>37525.712390000001</v>
      </c>
      <c r="E84" s="1396">
        <f t="shared" si="19"/>
        <v>34111.088634000014</v>
      </c>
      <c r="F84" s="1396">
        <f t="shared" si="19"/>
        <v>2473.3602699999992</v>
      </c>
      <c r="G84" s="1396">
        <f t="shared" si="19"/>
        <v>4875.8149090000006</v>
      </c>
      <c r="H84" s="1396">
        <f t="shared" si="19"/>
        <v>2749.0367900000001</v>
      </c>
      <c r="I84" s="1396">
        <f>'[1]пром.пр-во'!H64</f>
        <v>73915.31901363637</v>
      </c>
      <c r="J84" s="1396">
        <f>SUM(C84:I84)</f>
        <v>192006.27218663637</v>
      </c>
      <c r="L84" s="1396">
        <f>L73</f>
        <v>43063.726519999997</v>
      </c>
    </row>
  </sheetData>
  <mergeCells count="9">
    <mergeCell ref="C6:I6"/>
    <mergeCell ref="N2:N6"/>
    <mergeCell ref="O2:O6"/>
    <mergeCell ref="M2:M6"/>
    <mergeCell ref="R2:R6"/>
    <mergeCell ref="J2:J6"/>
    <mergeCell ref="K2:K6"/>
    <mergeCell ref="L2:L6"/>
    <mergeCell ref="P2:P6"/>
  </mergeCells>
  <pageMargins left="0.23622047244094491" right="0.23622047244094491" top="0.74803149606299213" bottom="0.39370078740157483" header="0.31496062992125984" footer="0.31496062992125984"/>
  <pageSetup paperSize="9" scale="85" orientation="landscape" r:id="rId1"/>
  <headerFooter>
    <oddHeader>&amp;Cпроизводственные затраты факт 1 квартал 2013 года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">
    <tabColor rgb="FFFFFF00"/>
  </sheetPr>
  <dimension ref="A1:F126"/>
  <sheetViews>
    <sheetView topLeftCell="A101" workbookViewId="0">
      <selection activeCell="D125" sqref="D125"/>
    </sheetView>
  </sheetViews>
  <sheetFormatPr defaultRowHeight="10.5" customHeight="1" outlineLevelRow="1" outlineLevelCol="1"/>
  <cols>
    <col min="1" max="1" width="2" style="1" customWidth="1"/>
    <col min="2" max="2" width="66" style="1" customWidth="1"/>
    <col min="3" max="3" width="9" style="4" customWidth="1"/>
    <col min="4" max="4" width="9.5703125" style="1757" customWidth="1"/>
    <col min="5" max="5" width="8" style="875" customWidth="1" outlineLevel="1"/>
    <col min="6" max="6" width="9" style="2" customWidth="1" outlineLevel="1"/>
    <col min="7" max="16384" width="9.140625" style="1"/>
  </cols>
  <sheetData>
    <row r="1" spans="2:6" s="110" customFormat="1" ht="22.5" customHeight="1" thickBot="1">
      <c r="B1" s="111" t="s">
        <v>662</v>
      </c>
      <c r="C1" s="112"/>
      <c r="D1" s="1714"/>
      <c r="E1" s="1715"/>
      <c r="F1" s="168"/>
    </row>
    <row r="2" spans="2:6" s="4" customFormat="1" ht="12" customHeight="1" thickBot="1">
      <c r="B2" s="2611" t="s">
        <v>139</v>
      </c>
      <c r="C2" s="2612"/>
      <c r="D2" s="1716" t="s">
        <v>42</v>
      </c>
      <c r="E2" s="1717" t="s">
        <v>43</v>
      </c>
      <c r="F2" s="169" t="s">
        <v>140</v>
      </c>
    </row>
    <row r="3" spans="2:6" ht="18.75" customHeight="1">
      <c r="B3" s="173" t="s">
        <v>530</v>
      </c>
      <c r="C3" s="1711" t="s">
        <v>45</v>
      </c>
      <c r="D3" s="1718">
        <f>БДР!C5</f>
        <v>2785.2937304537627</v>
      </c>
      <c r="E3" s="1719">
        <f>БДР!D5</f>
        <v>8092.5092100001057</v>
      </c>
      <c r="F3" s="123">
        <f>E3-D3</f>
        <v>5307.215479546343</v>
      </c>
    </row>
    <row r="4" spans="2:6" ht="18.75" customHeight="1">
      <c r="B4" s="710" t="s">
        <v>199</v>
      </c>
      <c r="C4" s="1710" t="s">
        <v>45</v>
      </c>
      <c r="D4" s="1720">
        <f>БДР!C8+БДР!C11</f>
        <v>12326.098363679776</v>
      </c>
      <c r="E4" s="1721">
        <f>БДР!D8</f>
        <v>31521.313080000022</v>
      </c>
      <c r="F4" s="123"/>
    </row>
    <row r="5" spans="2:6" ht="10.5" customHeight="1">
      <c r="B5" s="113" t="s">
        <v>141</v>
      </c>
      <c r="C5" s="1700" t="s">
        <v>45</v>
      </c>
      <c r="D5" s="1722">
        <f>БДР!C14</f>
        <v>6400.7452774825069</v>
      </c>
      <c r="E5" s="1723">
        <f>БДР!D14</f>
        <v>13646.286170000007</v>
      </c>
      <c r="F5" s="123">
        <f t="shared" ref="F5:F17" si="0">E5-D5</f>
        <v>7245.5408925174997</v>
      </c>
    </row>
    <row r="6" spans="2:6" ht="10.5" customHeight="1">
      <c r="B6" s="113" t="s">
        <v>142</v>
      </c>
      <c r="C6" s="1700" t="s">
        <v>45</v>
      </c>
      <c r="D6" s="1722">
        <f>БДР!C23</f>
        <v>5.4569682106375694E-11</v>
      </c>
      <c r="E6" s="1723">
        <f>БДР!D11+БДР!D23</f>
        <v>-9050.6049599999205</v>
      </c>
      <c r="F6" s="123">
        <f t="shared" si="0"/>
        <v>-9050.6049599999751</v>
      </c>
    </row>
    <row r="7" spans="2:6" s="3" customFormat="1" ht="10.5" customHeight="1">
      <c r="B7" s="114" t="s">
        <v>143</v>
      </c>
      <c r="C7" s="1701" t="s">
        <v>45</v>
      </c>
      <c r="D7" s="1724">
        <f>БДР!C26</f>
        <v>21391.890155530185</v>
      </c>
      <c r="E7" s="1725">
        <f>БДР!D26</f>
        <v>47060.520580043783</v>
      </c>
      <c r="F7" s="123">
        <f t="shared" si="0"/>
        <v>25668.630424513598</v>
      </c>
    </row>
    <row r="8" spans="2:6" ht="10.5" customHeight="1">
      <c r="B8" s="113" t="s">
        <v>144</v>
      </c>
      <c r="C8" s="1700" t="s">
        <v>45</v>
      </c>
      <c r="D8" s="1722">
        <f>БДР!C27</f>
        <v>15082.807205479452</v>
      </c>
      <c r="E8" s="1723">
        <f>БДР!D27</f>
        <v>71342.55197</v>
      </c>
      <c r="F8" s="123">
        <f t="shared" si="0"/>
        <v>56259.744764520547</v>
      </c>
    </row>
    <row r="9" spans="2:6" ht="10.5" customHeight="1">
      <c r="B9" s="113" t="s">
        <v>145</v>
      </c>
      <c r="C9" s="1700" t="s">
        <v>45</v>
      </c>
      <c r="D9" s="1722">
        <f>SUM(БДР!C29:C36)</f>
        <v>15082.807205479452</v>
      </c>
      <c r="E9" s="1723">
        <f>SUM(БДР!D29:D36)</f>
        <v>20267.072520000002</v>
      </c>
      <c r="F9" s="123">
        <f t="shared" si="0"/>
        <v>5184.2653145205495</v>
      </c>
    </row>
    <row r="10" spans="2:6" ht="10.5" customHeight="1">
      <c r="B10" s="113" t="s">
        <v>79</v>
      </c>
      <c r="C10" s="1700" t="s">
        <v>45</v>
      </c>
      <c r="D10" s="1722">
        <f>БДР!C40+D12</f>
        <v>44653.955926027396</v>
      </c>
      <c r="E10" s="1723">
        <f>БДР!D40+E12</f>
        <v>65096.238219999999</v>
      </c>
      <c r="F10" s="123">
        <f t="shared" si="0"/>
        <v>20442.282293972603</v>
      </c>
    </row>
    <row r="11" spans="2:6" ht="10.5" customHeight="1">
      <c r="B11" s="113" t="s">
        <v>146</v>
      </c>
      <c r="C11" s="1700" t="s">
        <v>45</v>
      </c>
      <c r="D11" s="1722">
        <f>БДР!C41+БДР!C42</f>
        <v>22811.955926027396</v>
      </c>
      <c r="E11" s="1723">
        <f>БДР!D41+БДР!D42</f>
        <v>20339.13839</v>
      </c>
      <c r="F11" s="123">
        <f t="shared" si="0"/>
        <v>-2472.8175360273963</v>
      </c>
    </row>
    <row r="12" spans="2:6" ht="10.5" customHeight="1">
      <c r="B12" s="113" t="s">
        <v>147</v>
      </c>
      <c r="C12" s="1700" t="s">
        <v>45</v>
      </c>
      <c r="D12" s="1722">
        <f>БДР!C51</f>
        <v>258.5</v>
      </c>
      <c r="E12" s="1723">
        <f>БДР!D51</f>
        <v>653.02044000000001</v>
      </c>
      <c r="F12" s="123">
        <f t="shared" si="0"/>
        <v>394.52044000000001</v>
      </c>
    </row>
    <row r="13" spans="2:6" s="3" customFormat="1" ht="10.5" customHeight="1">
      <c r="B13" s="114" t="s">
        <v>148</v>
      </c>
      <c r="C13" s="1701" t="s">
        <v>45</v>
      </c>
      <c r="D13" s="1724">
        <f>БДР!C64</f>
        <v>-8122.7585650177571</v>
      </c>
      <c r="E13" s="1725">
        <f>БДР!D64</f>
        <v>53835.570420043783</v>
      </c>
      <c r="F13" s="123">
        <f t="shared" si="0"/>
        <v>61958.32898506154</v>
      </c>
    </row>
    <row r="14" spans="2:6" ht="10.5" customHeight="1">
      <c r="B14" s="113" t="s">
        <v>149</v>
      </c>
      <c r="C14" s="1700" t="s">
        <v>45</v>
      </c>
      <c r="D14" s="1722">
        <f>БДР!C65</f>
        <v>0</v>
      </c>
      <c r="E14" s="1723">
        <f>БДР!D65</f>
        <v>0</v>
      </c>
      <c r="F14" s="123">
        <f t="shared" si="0"/>
        <v>0</v>
      </c>
    </row>
    <row r="15" spans="2:6" ht="10.5" customHeight="1">
      <c r="B15" s="113" t="s">
        <v>150</v>
      </c>
      <c r="C15" s="1700" t="s">
        <v>45</v>
      </c>
      <c r="D15" s="1722">
        <f>БДР!C68+БДР!C69</f>
        <v>0</v>
      </c>
      <c r="E15" s="1723">
        <f>БДР!D68+БДР!D69</f>
        <v>0</v>
      </c>
      <c r="F15" s="123">
        <f t="shared" si="0"/>
        <v>0</v>
      </c>
    </row>
    <row r="16" spans="2:6" s="3" customFormat="1" ht="10.5" customHeight="1">
      <c r="B16" s="114" t="s">
        <v>151</v>
      </c>
      <c r="C16" s="1701" t="s">
        <v>45</v>
      </c>
      <c r="D16" s="1724">
        <f>БДР!C70</f>
        <v>-8122.7585650177571</v>
      </c>
      <c r="E16" s="1725">
        <f>БДР!D70</f>
        <v>53835.570420043783</v>
      </c>
      <c r="F16" s="123">
        <f t="shared" si="0"/>
        <v>61958.32898506154</v>
      </c>
    </row>
    <row r="17" spans="2:6" s="3" customFormat="1" ht="10.5" customHeight="1" thickBot="1">
      <c r="B17" s="115" t="s">
        <v>152</v>
      </c>
      <c r="C17" s="126" t="s">
        <v>153</v>
      </c>
      <c r="D17" s="1726">
        <f>D7/D19</f>
        <v>2.8261525431256956E-2</v>
      </c>
      <c r="E17" s="1727">
        <f>E7/E19</f>
        <v>6.1200901429148941E-2</v>
      </c>
      <c r="F17" s="123">
        <f t="shared" si="0"/>
        <v>3.2939375997891984E-2</v>
      </c>
    </row>
    <row r="18" spans="2:6" s="116" customFormat="1" ht="13.5" customHeight="1" thickBot="1">
      <c r="B18" s="2609" t="s">
        <v>511</v>
      </c>
      <c r="C18" s="2613"/>
      <c r="D18" s="1716" t="s">
        <v>42</v>
      </c>
      <c r="E18" s="1717" t="s">
        <v>43</v>
      </c>
      <c r="F18" s="169" t="s">
        <v>140</v>
      </c>
    </row>
    <row r="19" spans="2:6" s="117" customFormat="1" ht="10.5" customHeight="1">
      <c r="B19" s="118" t="s">
        <v>154</v>
      </c>
      <c r="C19" s="1702" t="s">
        <v>45</v>
      </c>
      <c r="D19" s="1728">
        <f>реал!E127</f>
        <v>756926.23908654891</v>
      </c>
      <c r="E19" s="1729">
        <f>реал!G127</f>
        <v>768951.42851000011</v>
      </c>
      <c r="F19" s="123">
        <f t="shared" ref="F19:F31" si="1">E19-D19</f>
        <v>12025.1894234512</v>
      </c>
    </row>
    <row r="20" spans="2:6" s="117" customFormat="1" ht="10.5" customHeight="1">
      <c r="B20" s="2614" t="s">
        <v>155</v>
      </c>
      <c r="C20" s="1700" t="s">
        <v>45</v>
      </c>
      <c r="D20" s="1724">
        <f>реал!E70</f>
        <v>278624.22224999993</v>
      </c>
      <c r="E20" s="1725">
        <f>реал!G70</f>
        <v>265974.72039000003</v>
      </c>
      <c r="F20" s="123">
        <f t="shared" si="1"/>
        <v>-12649.501859999902</v>
      </c>
    </row>
    <row r="21" spans="2:6" s="117" customFormat="1" ht="10.5" customHeight="1">
      <c r="B21" s="2614"/>
      <c r="C21" s="1700" t="s">
        <v>12</v>
      </c>
      <c r="D21" s="1722">
        <f>реал!D70</f>
        <v>1043.5917499999998</v>
      </c>
      <c r="E21" s="1723">
        <f>реал!F70</f>
        <v>982.16709329999992</v>
      </c>
      <c r="F21" s="123">
        <f t="shared" si="1"/>
        <v>-61.4246566999999</v>
      </c>
    </row>
    <row r="22" spans="2:6" s="117" customFormat="1" ht="10.5" customHeight="1">
      <c r="B22" s="2614"/>
      <c r="C22" s="1700" t="s">
        <v>156</v>
      </c>
      <c r="D22" s="1730">
        <f>D20/D21*1000</f>
        <v>266985.84216481203</v>
      </c>
      <c r="E22" s="1731">
        <f>E20/E21*1000</f>
        <v>270803.94181844051</v>
      </c>
      <c r="F22" s="123">
        <f t="shared" si="1"/>
        <v>3818.0996536284802</v>
      </c>
    </row>
    <row r="23" spans="2:6" s="117" customFormat="1" ht="10.5" customHeight="1">
      <c r="B23" s="2614" t="s">
        <v>157</v>
      </c>
      <c r="C23" s="1700" t="s">
        <v>45</v>
      </c>
      <c r="D23" s="819">
        <f>реал!E84+реал!E86+реал!E90+реал!E94</f>
        <v>46113.459000000003</v>
      </c>
      <c r="E23" s="1732">
        <f>реал!G84+реал!G86+реал!G90+реал!G94</f>
        <v>40239.334080000001</v>
      </c>
      <c r="F23" s="123">
        <f>E23-D23</f>
        <v>-5874.124920000002</v>
      </c>
    </row>
    <row r="24" spans="2:6" s="117" customFormat="1" ht="10.5" customHeight="1">
      <c r="B24" s="2614"/>
      <c r="C24" s="1700" t="s">
        <v>12</v>
      </c>
      <c r="D24" s="801">
        <f>реал!D84+реал!D86+реал!D90+реал!D94</f>
        <v>192.42474999999999</v>
      </c>
      <c r="E24" s="1733">
        <f>реал!F84+реал!F86+реал!F90+реал!F94</f>
        <v>166.51085700000002</v>
      </c>
      <c r="F24" s="123">
        <f>E24-D24</f>
        <v>-25.913892999999973</v>
      </c>
    </row>
    <row r="25" spans="2:6" s="117" customFormat="1" ht="10.5" customHeight="1">
      <c r="B25" s="2614"/>
      <c r="C25" s="1700" t="s">
        <v>156</v>
      </c>
      <c r="D25" s="1730">
        <f>D23/D24*1000</f>
        <v>239644.11542693962</v>
      </c>
      <c r="E25" s="1731">
        <f>E23/E24*1000</f>
        <v>241661.92406300566</v>
      </c>
      <c r="F25" s="123">
        <f>E25-D25</f>
        <v>2017.8086360660382</v>
      </c>
    </row>
    <row r="26" spans="2:6" s="117" customFormat="1" ht="10.5" hidden="1" customHeight="1" outlineLevel="1">
      <c r="B26" s="2614" t="s">
        <v>158</v>
      </c>
      <c r="C26" s="1700" t="s">
        <v>45</v>
      </c>
      <c r="D26" s="1724">
        <f>реал!E114+реал!E116</f>
        <v>91292.292000000001</v>
      </c>
      <c r="E26" s="1725">
        <f>реал!G114+реал!G116</f>
        <v>113962.07800000001</v>
      </c>
      <c r="F26" s="123">
        <f t="shared" si="1"/>
        <v>22669.786000000007</v>
      </c>
    </row>
    <row r="27" spans="2:6" s="117" customFormat="1" ht="10.5" hidden="1" customHeight="1" outlineLevel="1">
      <c r="B27" s="2614"/>
      <c r="C27" s="1700" t="s">
        <v>159</v>
      </c>
      <c r="D27" s="1722" t="e">
        <f>обор.КРС!#REF!+'обор.шув-2,3'!S34+'обор.шув-2,3'!S43</f>
        <v>#REF!</v>
      </c>
      <c r="E27" s="1723" t="e">
        <f>обор.КРС!#REF!</f>
        <v>#REF!</v>
      </c>
      <c r="F27" s="123" t="e">
        <f t="shared" si="1"/>
        <v>#REF!</v>
      </c>
    </row>
    <row r="28" spans="2:6" s="117" customFormat="1" ht="10.5" hidden="1" customHeight="1" outlineLevel="1">
      <c r="B28" s="2614"/>
      <c r="C28" s="1700" t="s">
        <v>12</v>
      </c>
      <c r="D28" s="1722">
        <f>реал!D114+реал!D116</f>
        <v>926.1</v>
      </c>
      <c r="E28" s="1723">
        <f>реал!F114+реал!F116</f>
        <v>1140.992</v>
      </c>
      <c r="F28" s="123">
        <f t="shared" si="1"/>
        <v>214.89199999999994</v>
      </c>
    </row>
    <row r="29" spans="2:6" s="117" customFormat="1" ht="10.5" hidden="1" customHeight="1" outlineLevel="1">
      <c r="B29" s="2614"/>
      <c r="C29" s="1700" t="s">
        <v>160</v>
      </c>
      <c r="D29" s="1730">
        <f>D26/D28</f>
        <v>98.57714285714286</v>
      </c>
      <c r="E29" s="1731">
        <f>E26/E28</f>
        <v>99.879822119699355</v>
      </c>
      <c r="F29" s="123">
        <f t="shared" si="1"/>
        <v>1.3026792625564951</v>
      </c>
    </row>
    <row r="30" spans="2:6" s="117" customFormat="1" ht="10.5" customHeight="1" collapsed="1">
      <c r="B30" s="119" t="s">
        <v>161</v>
      </c>
      <c r="C30" s="1701" t="s">
        <v>153</v>
      </c>
      <c r="D30" s="1758">
        <f>(D19-D31)/D19</f>
        <v>1</v>
      </c>
      <c r="E30" s="1725"/>
      <c r="F30" s="123">
        <f t="shared" si="1"/>
        <v>-1</v>
      </c>
    </row>
    <row r="31" spans="2:6" s="117" customFormat="1" ht="10.5" customHeight="1" thickBot="1">
      <c r="B31" s="120" t="s">
        <v>162</v>
      </c>
      <c r="C31" s="126" t="s">
        <v>45</v>
      </c>
      <c r="D31" s="1734">
        <v>0</v>
      </c>
      <c r="E31" s="1735"/>
      <c r="F31" s="123">
        <f t="shared" si="1"/>
        <v>0</v>
      </c>
    </row>
    <row r="32" spans="2:6" s="121" customFormat="1" ht="16.5" customHeight="1" thickBot="1">
      <c r="B32" s="2609" t="s">
        <v>476</v>
      </c>
      <c r="C32" s="2613"/>
      <c r="D32" s="1716" t="s">
        <v>42</v>
      </c>
      <c r="E32" s="1717" t="s">
        <v>43</v>
      </c>
      <c r="F32" s="169" t="s">
        <v>140</v>
      </c>
    </row>
    <row r="33" spans="2:6" s="117" customFormat="1" ht="10.5" customHeight="1">
      <c r="B33" s="122" t="s">
        <v>491</v>
      </c>
      <c r="C33" s="1702" t="s">
        <v>45</v>
      </c>
      <c r="D33" s="1728">
        <f>D37+D40+D43+D46+D49</f>
        <v>259217.76121942696</v>
      </c>
      <c r="E33" s="1729">
        <f>E34+E46+E49</f>
        <v>268289.20765</v>
      </c>
      <c r="F33" s="1760">
        <f>E33-D33</f>
        <v>9071.4464305730362</v>
      </c>
    </row>
    <row r="34" spans="2:6" s="117" customFormat="1" ht="10.5" customHeight="1">
      <c r="B34" s="2615" t="s">
        <v>495</v>
      </c>
      <c r="C34" s="1700" t="s">
        <v>45</v>
      </c>
      <c r="D34" s="1724">
        <f>D37+D40+D43+D46</f>
        <v>256955.45029942697</v>
      </c>
      <c r="E34" s="1725">
        <f>E37+E40+E43+E46</f>
        <v>260434.77538000001</v>
      </c>
      <c r="F34" s="5">
        <f>E34-D34</f>
        <v>3479.3250805730349</v>
      </c>
    </row>
    <row r="35" spans="2:6" s="117" customFormat="1" ht="10.5" customHeight="1">
      <c r="B35" s="2616"/>
      <c r="C35" s="1700" t="s">
        <v>12</v>
      </c>
      <c r="D35" s="1724">
        <f>D38+D41+D44+D47</f>
        <v>13902.806162849998</v>
      </c>
      <c r="E35" s="1725">
        <f>E38+E41+E44+E47</f>
        <v>15211.710999999999</v>
      </c>
      <c r="F35" s="5">
        <f>E35-D35</f>
        <v>1308.9048371500012</v>
      </c>
    </row>
    <row r="36" spans="2:6" s="121" customFormat="1" ht="10.5" customHeight="1">
      <c r="B36" s="2617"/>
      <c r="C36" s="1700" t="s">
        <v>156</v>
      </c>
      <c r="D36" s="1730">
        <f>D34/D35*1000</f>
        <v>18482.272376496439</v>
      </c>
      <c r="E36" s="1731">
        <f>E34/E35*1000</f>
        <v>17120.675996276816</v>
      </c>
      <c r="F36" s="5">
        <f>E36-D36</f>
        <v>-1361.5963802196238</v>
      </c>
    </row>
    <row r="37" spans="2:6" s="117" customFormat="1" ht="10.5" customHeight="1">
      <c r="B37" s="2615" t="s">
        <v>492</v>
      </c>
      <c r="C37" s="1700" t="s">
        <v>45</v>
      </c>
      <c r="D37" s="1724">
        <f>'произв. план'!C8</f>
        <v>104796.78702988046</v>
      </c>
      <c r="E37" s="1725">
        <f>'произв. факт'!C8</f>
        <v>104088.89207</v>
      </c>
      <c r="F37" s="5">
        <f t="shared" ref="F37:F53" si="2">E37-D37</f>
        <v>-707.8949598804611</v>
      </c>
    </row>
    <row r="38" spans="2:6" s="117" customFormat="1" ht="10.5" customHeight="1">
      <c r="B38" s="2616"/>
      <c r="C38" s="1700" t="s">
        <v>12</v>
      </c>
      <c r="D38" s="1724">
        <f>'произв. план'!C9</f>
        <v>5593.5002999999997</v>
      </c>
      <c r="E38" s="1725">
        <f>'произв. факт'!C9</f>
        <v>6056.0489999999991</v>
      </c>
      <c r="F38" s="5">
        <f t="shared" si="2"/>
        <v>462.54869999999937</v>
      </c>
    </row>
    <row r="39" spans="2:6" s="121" customFormat="1" ht="10.5" customHeight="1">
      <c r="B39" s="2617"/>
      <c r="C39" s="1700" t="s">
        <v>156</v>
      </c>
      <c r="D39" s="1730">
        <f>D37/D38*1000</f>
        <v>18735.457479081651</v>
      </c>
      <c r="E39" s="1731">
        <f>E37/E38*1000</f>
        <v>17187.590798885547</v>
      </c>
      <c r="F39" s="5">
        <f t="shared" si="2"/>
        <v>-1547.8666801961044</v>
      </c>
    </row>
    <row r="40" spans="2:6" s="117" customFormat="1" ht="10.5" customHeight="1">
      <c r="B40" s="2615" t="s">
        <v>493</v>
      </c>
      <c r="C40" s="1700" t="s">
        <v>45</v>
      </c>
      <c r="D40" s="1724">
        <f>'произв. план'!D8</f>
        <v>60778.867142751493</v>
      </c>
      <c r="E40" s="1725">
        <f>'произв. факт'!D8</f>
        <v>67896.557480000003</v>
      </c>
      <c r="F40" s="5">
        <f t="shared" ref="F40:F45" si="3">E40-D40</f>
        <v>7117.6903372485103</v>
      </c>
    </row>
    <row r="41" spans="2:6" s="117" customFormat="1" ht="10.5" customHeight="1">
      <c r="B41" s="2616"/>
      <c r="C41" s="1700" t="s">
        <v>12</v>
      </c>
      <c r="D41" s="1724">
        <f>'произв. план'!D9</f>
        <v>2946.6378323499994</v>
      </c>
      <c r="E41" s="1725">
        <f>'произв. факт'!D9</f>
        <v>3388.96</v>
      </c>
      <c r="F41" s="5">
        <f t="shared" si="3"/>
        <v>442.32216765000067</v>
      </c>
    </row>
    <row r="42" spans="2:6" s="121" customFormat="1" ht="10.5" customHeight="1">
      <c r="B42" s="2617"/>
      <c r="C42" s="1700" t="s">
        <v>156</v>
      </c>
      <c r="D42" s="1730">
        <f>D40/D41*1000</f>
        <v>20626.514217486714</v>
      </c>
      <c r="E42" s="1731">
        <f>E40/E41*1000</f>
        <v>20034.629349416933</v>
      </c>
      <c r="F42" s="5">
        <f t="shared" si="3"/>
        <v>-591.88486806978108</v>
      </c>
    </row>
    <row r="43" spans="2:6" s="117" customFormat="1" ht="10.5" customHeight="1">
      <c r="B43" s="2615" t="s">
        <v>494</v>
      </c>
      <c r="C43" s="1700" t="s">
        <v>45</v>
      </c>
      <c r="D43" s="1724">
        <f>'произв. план'!E8</f>
        <v>83985.742199294997</v>
      </c>
      <c r="E43" s="1725">
        <f>'произв. факт'!E8</f>
        <v>82002.021609999996</v>
      </c>
      <c r="F43" s="5">
        <f t="shared" si="3"/>
        <v>-1983.7205892950005</v>
      </c>
    </row>
    <row r="44" spans="2:6" s="117" customFormat="1" ht="10.5" customHeight="1">
      <c r="B44" s="2616"/>
      <c r="C44" s="1700" t="s">
        <v>12</v>
      </c>
      <c r="D44" s="1724">
        <f>'произв. план'!E9</f>
        <v>4885.7325304999995</v>
      </c>
      <c r="E44" s="1725">
        <f>'произв. факт'!E9</f>
        <v>5297.2359999999999</v>
      </c>
      <c r="F44" s="5">
        <f t="shared" si="3"/>
        <v>411.50346950000039</v>
      </c>
    </row>
    <row r="45" spans="2:6" s="121" customFormat="1" ht="10.5" customHeight="1">
      <c r="B45" s="2617"/>
      <c r="C45" s="1700" t="s">
        <v>156</v>
      </c>
      <c r="D45" s="1730">
        <f>D43/D44*1000</f>
        <v>17190</v>
      </c>
      <c r="E45" s="1731">
        <f>E43/E44*1000</f>
        <v>15480.152594673902</v>
      </c>
      <c r="F45" s="5">
        <f t="shared" si="3"/>
        <v>-1709.8474053260979</v>
      </c>
    </row>
    <row r="46" spans="2:6" s="117" customFormat="1" ht="10.5" customHeight="1">
      <c r="B46" s="2615" t="s">
        <v>651</v>
      </c>
      <c r="C46" s="1700" t="s">
        <v>45</v>
      </c>
      <c r="D46" s="1724">
        <f>'произв. план'!F8+'произв. план'!G8</f>
        <v>7394.0539275000001</v>
      </c>
      <c r="E46" s="1725">
        <f>'произв. факт'!F8+'произв. факт'!G8</f>
        <v>6447.30422</v>
      </c>
      <c r="F46" s="5">
        <f t="shared" si="2"/>
        <v>-946.74970750000011</v>
      </c>
    </row>
    <row r="47" spans="2:6" s="117" customFormat="1" ht="10.5" customHeight="1">
      <c r="B47" s="2616"/>
      <c r="C47" s="1700" t="s">
        <v>12</v>
      </c>
      <c r="D47" s="1724">
        <f>'произв. план'!F9+'произв. план'!G9</f>
        <v>476.93549999999999</v>
      </c>
      <c r="E47" s="1725">
        <f>'произв. факт'!F9+'произв. факт'!G9</f>
        <v>469.46600000000001</v>
      </c>
      <c r="F47" s="5">
        <f t="shared" si="2"/>
        <v>-7.4694999999999823</v>
      </c>
    </row>
    <row r="48" spans="2:6" s="121" customFormat="1" ht="10.5" customHeight="1">
      <c r="B48" s="2617"/>
      <c r="C48" s="1700" t="s">
        <v>156</v>
      </c>
      <c r="D48" s="1731">
        <f>D46/D47*1000</f>
        <v>15503.257626031193</v>
      </c>
      <c r="E48" s="1731">
        <f>E46/E47*1000</f>
        <v>13733.271887634035</v>
      </c>
      <c r="F48" s="5">
        <f t="shared" si="2"/>
        <v>-1769.9857383971575</v>
      </c>
    </row>
    <row r="49" spans="1:6" s="121" customFormat="1" ht="10.5" customHeight="1">
      <c r="B49" s="113" t="s">
        <v>163</v>
      </c>
      <c r="C49" s="1700" t="s">
        <v>45</v>
      </c>
      <c r="D49" s="1724">
        <f>'произв. план'!P14</f>
        <v>2262.3109199999999</v>
      </c>
      <c r="E49" s="1725">
        <f>'произв. факт'!P14</f>
        <v>1407.12805</v>
      </c>
      <c r="F49" s="5">
        <f t="shared" si="2"/>
        <v>-855.18286999999987</v>
      </c>
    </row>
    <row r="50" spans="1:6" s="121" customFormat="1" ht="10.5" customHeight="1">
      <c r="A50" s="117"/>
      <c r="B50" s="2628" t="s">
        <v>164</v>
      </c>
      <c r="C50" s="1700" t="s">
        <v>45</v>
      </c>
      <c r="D50" s="1724">
        <f>'произв. план'!P33</f>
        <v>36614.125354433745</v>
      </c>
      <c r="E50" s="1736">
        <f>'произв. факт'!P33</f>
        <v>9272.1636099999996</v>
      </c>
      <c r="F50" s="5">
        <f t="shared" si="2"/>
        <v>-27341.961744433745</v>
      </c>
    </row>
    <row r="51" spans="1:6" s="3" customFormat="1" ht="10.5" customHeight="1">
      <c r="A51" s="117"/>
      <c r="B51" s="2629"/>
      <c r="C51" s="1700" t="s">
        <v>159</v>
      </c>
      <c r="D51" s="1724">
        <f>'[3]Скот убой '!$B$76</f>
        <v>856</v>
      </c>
      <c r="E51" s="1737">
        <v>56</v>
      </c>
      <c r="F51" s="5">
        <f t="shared" si="2"/>
        <v>-800</v>
      </c>
    </row>
    <row r="52" spans="1:6" s="3" customFormat="1" ht="10.5" customHeight="1">
      <c r="A52" s="117"/>
      <c r="B52" s="2629"/>
      <c r="C52" s="1700" t="s">
        <v>12</v>
      </c>
      <c r="D52" s="1738">
        <f>'произв. план'!P34</f>
        <v>385.41184583614466</v>
      </c>
      <c r="E52" s="1725">
        <f>'произв. факт'!P34</f>
        <v>104.90300000000001</v>
      </c>
      <c r="F52" s="5">
        <f t="shared" si="2"/>
        <v>-280.50884583614464</v>
      </c>
    </row>
    <row r="53" spans="1:6" ht="15" customHeight="1" thickBot="1">
      <c r="A53" s="121"/>
      <c r="B53" s="2630"/>
      <c r="C53" s="1703" t="s">
        <v>156</v>
      </c>
      <c r="D53" s="1739">
        <f>D50/D52*1000</f>
        <v>95000</v>
      </c>
      <c r="E53" s="1740">
        <f>E50/E52*1000</f>
        <v>88387.973747175944</v>
      </c>
      <c r="F53" s="1761">
        <f t="shared" si="2"/>
        <v>-6612.0262528240564</v>
      </c>
    </row>
    <row r="54" spans="1:6" s="117" customFormat="1" ht="10.5" customHeight="1">
      <c r="A54" s="3"/>
      <c r="B54" s="124" t="s">
        <v>496</v>
      </c>
      <c r="C54" s="125" t="s">
        <v>153</v>
      </c>
      <c r="D54" s="1759">
        <f>(D37+D46-D55)/(D37+D46)</f>
        <v>1</v>
      </c>
      <c r="E54" s="1728"/>
      <c r="F54" s="1762"/>
    </row>
    <row r="55" spans="1:6" s="121" customFormat="1" ht="10.5" customHeight="1" thickBot="1">
      <c r="A55" s="3"/>
      <c r="B55" s="115" t="s">
        <v>497</v>
      </c>
      <c r="C55" s="126" t="s">
        <v>45</v>
      </c>
      <c r="D55" s="1726">
        <v>0</v>
      </c>
      <c r="E55" s="1741">
        <v>33673.800000000003</v>
      </c>
      <c r="F55" s="170"/>
    </row>
    <row r="56" spans="1:6" s="121" customFormat="1" ht="17.25" customHeight="1" thickBot="1">
      <c r="A56" s="1"/>
      <c r="B56" s="2609" t="s">
        <v>165</v>
      </c>
      <c r="C56" s="2613"/>
      <c r="D56" s="1716" t="s">
        <v>42</v>
      </c>
      <c r="E56" s="1717" t="s">
        <v>43</v>
      </c>
      <c r="F56" s="169" t="s">
        <v>140</v>
      </c>
    </row>
    <row r="57" spans="1:6" s="121" customFormat="1" ht="10.5" customHeight="1">
      <c r="A57" s="117"/>
      <c r="B57" s="127" t="s">
        <v>166</v>
      </c>
      <c r="C57" s="1702" t="s">
        <v>45</v>
      </c>
      <c r="D57" s="1728">
        <f>D58+D59+D60+D61+D62+D63</f>
        <v>342012.4434180432</v>
      </c>
      <c r="E57" s="1729">
        <f>E58+E59+E60+E61+E62+E63</f>
        <v>413226.67377539998</v>
      </c>
      <c r="F57" s="123">
        <f t="shared" ref="F57:F61" si="4">E57-D57</f>
        <v>71214.230357356777</v>
      </c>
    </row>
    <row r="58" spans="1:6" s="121" customFormat="1" ht="10.5" customHeight="1">
      <c r="B58" s="128" t="s">
        <v>167</v>
      </c>
      <c r="C58" s="1700" t="s">
        <v>45</v>
      </c>
      <c r="D58" s="1722">
        <f>'произв. план'!P7-'произв. план'!P8-'произв. план'!P11-'произв. план'!P14-'произв. план'!P15-'произв. план'!P33</f>
        <v>113797.76746804317</v>
      </c>
      <c r="E58" s="1723">
        <f>'произв. факт'!P7-'произв. факт'!P8-'произв. факт'!P11-'произв. факт'!P14-'произв. факт'!P33</f>
        <v>135314.71178540005</v>
      </c>
      <c r="F58" s="123">
        <f>E58-D58</f>
        <v>21516.944317356887</v>
      </c>
    </row>
    <row r="59" spans="1:6" s="121" customFormat="1" ht="10.5" customHeight="1">
      <c r="B59" s="128" t="s">
        <v>168</v>
      </c>
      <c r="C59" s="1700" t="s">
        <v>45</v>
      </c>
      <c r="D59" s="1722">
        <f>'произв. план'!P42</f>
        <v>53478.066890000002</v>
      </c>
      <c r="E59" s="1723">
        <f>'произв. факт'!P42</f>
        <v>61629.387369999989</v>
      </c>
      <c r="F59" s="123">
        <f>E59-D59</f>
        <v>8151.3204799999876</v>
      </c>
    </row>
    <row r="60" spans="1:6" s="121" customFormat="1" ht="10.5" customHeight="1">
      <c r="B60" s="128" t="s">
        <v>169</v>
      </c>
      <c r="C60" s="1700" t="s">
        <v>45</v>
      </c>
      <c r="D60" s="1722">
        <f>'произв. план'!P43</f>
        <v>91937.600000000006</v>
      </c>
      <c r="E60" s="1723">
        <f>'произв. факт'!P43</f>
        <v>122061.34310999999</v>
      </c>
      <c r="F60" s="123">
        <f t="shared" si="4"/>
        <v>30123.743109999981</v>
      </c>
    </row>
    <row r="61" spans="1:6" s="121" customFormat="1" ht="10.5" customHeight="1">
      <c r="B61" s="128" t="s">
        <v>170</v>
      </c>
      <c r="C61" s="1700" t="s">
        <v>45</v>
      </c>
      <c r="D61" s="1722">
        <f>'произв. план'!P44</f>
        <v>28684.531199999998</v>
      </c>
      <c r="E61" s="1723">
        <f>'произв. факт'!P44</f>
        <v>37771.617469999997</v>
      </c>
      <c r="F61" s="123">
        <f t="shared" si="4"/>
        <v>9087.0862699999998</v>
      </c>
    </row>
    <row r="62" spans="1:6" s="121" customFormat="1" ht="10.5" customHeight="1">
      <c r="B62" s="128" t="s">
        <v>171</v>
      </c>
      <c r="C62" s="1700" t="s">
        <v>45</v>
      </c>
      <c r="D62" s="1722">
        <f>'произв. план'!P45</f>
        <v>20600.465</v>
      </c>
      <c r="E62" s="1723">
        <f>'произв. факт'!P45</f>
        <v>21717.98532</v>
      </c>
      <c r="F62" s="123">
        <f>E62-D62</f>
        <v>1117.5203199999996</v>
      </c>
    </row>
    <row r="63" spans="1:6" s="121" customFormat="1" ht="10.5" customHeight="1" thickBot="1">
      <c r="B63" s="129" t="s">
        <v>172</v>
      </c>
      <c r="C63" s="1703" t="s">
        <v>45</v>
      </c>
      <c r="D63" s="1734">
        <f>'произв. план'!P49</f>
        <v>33514.012860000003</v>
      </c>
      <c r="E63" s="1735">
        <f>'произв. факт'!P49</f>
        <v>34731.628719999993</v>
      </c>
      <c r="F63" s="123">
        <f>E63-D63</f>
        <v>1217.6158599999908</v>
      </c>
    </row>
    <row r="64" spans="1:6" s="121" customFormat="1" ht="10.5" customHeight="1" thickBot="1">
      <c r="B64" s="2609" t="s">
        <v>173</v>
      </c>
      <c r="C64" s="2610"/>
      <c r="D64" s="1716" t="s">
        <v>42</v>
      </c>
      <c r="E64" s="1717" t="s">
        <v>43</v>
      </c>
      <c r="F64" s="169" t="s">
        <v>140</v>
      </c>
    </row>
    <row r="65" spans="2:6" s="121" customFormat="1" ht="10.5" customHeight="1">
      <c r="B65" s="2631" t="s">
        <v>174</v>
      </c>
      <c r="C65" s="1704" t="s">
        <v>159</v>
      </c>
      <c r="D65" s="1742">
        <f>'[3]Скот убой '!$B$55</f>
        <v>27817.442500000012</v>
      </c>
      <c r="E65" s="1743">
        <v>9254</v>
      </c>
      <c r="F65" s="123">
        <f>E65-D65</f>
        <v>-18563.442500000012</v>
      </c>
    </row>
    <row r="66" spans="2:6" s="121" customFormat="1" ht="10.5" customHeight="1">
      <c r="B66" s="2624"/>
      <c r="C66" s="1704" t="s">
        <v>12</v>
      </c>
      <c r="D66" s="1742">
        <f>'[3]Скот убой '!$C$55/1000</f>
        <v>2939.6746925000016</v>
      </c>
      <c r="E66" s="1743">
        <v>861.45699999999999</v>
      </c>
      <c r="F66" s="123">
        <f t="shared" ref="F66:F77" si="5">E66-D66</f>
        <v>-2078.2176925000017</v>
      </c>
    </row>
    <row r="67" spans="2:6" s="121" customFormat="1" ht="10.5" customHeight="1">
      <c r="B67" s="2623" t="s">
        <v>175</v>
      </c>
      <c r="C67" s="1704" t="s">
        <v>12</v>
      </c>
      <c r="D67" s="1742">
        <f>'[3]Скот убой '!$G$55/1000</f>
        <v>2278.8608670616459</v>
      </c>
      <c r="E67" s="1743">
        <v>648.26979000000006</v>
      </c>
      <c r="F67" s="123">
        <f t="shared" si="5"/>
        <v>-1630.5910770616458</v>
      </c>
    </row>
    <row r="68" spans="2:6" s="121" customFormat="1" ht="10.5" customHeight="1">
      <c r="B68" s="2624"/>
      <c r="C68" s="1704" t="s">
        <v>176</v>
      </c>
      <c r="D68" s="1742">
        <f>D67/D66</f>
        <v>0.77520851979836702</v>
      </c>
      <c r="E68" s="1743">
        <f>E67/E66</f>
        <v>0.75252716038061107</v>
      </c>
      <c r="F68" s="123">
        <f t="shared" si="5"/>
        <v>-2.2681359417755953E-2</v>
      </c>
    </row>
    <row r="69" spans="2:6" s="121" customFormat="1" ht="10.5" customHeight="1">
      <c r="B69" s="2623" t="s">
        <v>177</v>
      </c>
      <c r="C69" s="1704" t="s">
        <v>12</v>
      </c>
      <c r="D69" s="1742">
        <f>'[3]общая жиловка свинины'!$C$25/1000</f>
        <v>621.65529873207095</v>
      </c>
      <c r="E69" s="1743">
        <v>262.02826100000004</v>
      </c>
      <c r="F69" s="123">
        <f t="shared" si="5"/>
        <v>-359.6270377320709</v>
      </c>
    </row>
    <row r="70" spans="2:6" s="121" customFormat="1" ht="10.5" customHeight="1">
      <c r="B70" s="2624"/>
      <c r="C70" s="1704" t="s">
        <v>176</v>
      </c>
      <c r="D70" s="1742">
        <f>'[3]общая жиловка свинины'!$B$25</f>
        <v>0.7504385933621569</v>
      </c>
      <c r="E70" s="1743">
        <v>0.70442064403469962</v>
      </c>
      <c r="F70" s="123">
        <f t="shared" si="5"/>
        <v>-4.6017949327457286E-2</v>
      </c>
    </row>
    <row r="71" spans="2:6" s="121" customFormat="1" ht="10.5" customHeight="1">
      <c r="B71" s="2623" t="s">
        <v>178</v>
      </c>
      <c r="C71" s="1704" t="s">
        <v>159</v>
      </c>
      <c r="D71" s="1742">
        <f>'[3]Скот убой '!$B$77</f>
        <v>944</v>
      </c>
      <c r="E71" s="1743">
        <v>278</v>
      </c>
      <c r="F71" s="123">
        <f t="shared" si="5"/>
        <v>-666</v>
      </c>
    </row>
    <row r="72" spans="2:6" s="121" customFormat="1" ht="10.5" customHeight="1">
      <c r="B72" s="2624"/>
      <c r="C72" s="1704" t="s">
        <v>12</v>
      </c>
      <c r="D72" s="1742">
        <f>'[3]Скот убой '!$C$77/1000</f>
        <v>421.43184583614465</v>
      </c>
      <c r="E72" s="1743">
        <v>122.636</v>
      </c>
      <c r="F72" s="123">
        <f t="shared" si="5"/>
        <v>-298.79584583614462</v>
      </c>
    </row>
    <row r="73" spans="2:6" s="121" customFormat="1" ht="10.5" customHeight="1">
      <c r="B73" s="2623" t="s">
        <v>179</v>
      </c>
      <c r="C73" s="1704" t="s">
        <v>12</v>
      </c>
      <c r="D73" s="1742">
        <f>'[3]Скот убой '!$G$77/1000</f>
        <v>197.28862113530724</v>
      </c>
      <c r="E73" s="1743">
        <v>56.299560000000007</v>
      </c>
      <c r="F73" s="123">
        <f t="shared" si="5"/>
        <v>-140.98906113530722</v>
      </c>
    </row>
    <row r="74" spans="2:6" s="121" customFormat="1" ht="12.75" customHeight="1">
      <c r="B74" s="2624"/>
      <c r="C74" s="1704" t="s">
        <v>176</v>
      </c>
      <c r="D74" s="1744">
        <f>D73/D72</f>
        <v>0.46813885349332213</v>
      </c>
      <c r="E74" s="1745">
        <f>E73/E72</f>
        <v>0.45907857399132401</v>
      </c>
      <c r="F74" s="910">
        <f t="shared" si="5"/>
        <v>-9.0602795019981142E-3</v>
      </c>
    </row>
    <row r="75" spans="2:6" s="121" customFormat="1" ht="12.75" customHeight="1">
      <c r="B75" s="2623" t="s">
        <v>180</v>
      </c>
      <c r="C75" s="1704" t="s">
        <v>12</v>
      </c>
      <c r="D75" s="1746">
        <f>'[3]Жиловка КРС'!$C$19/1000</f>
        <v>143.47962938525853</v>
      </c>
      <c r="E75" s="1743">
        <v>74.372400000000013</v>
      </c>
      <c r="F75" s="123">
        <f t="shared" si="5"/>
        <v>-69.10722938525852</v>
      </c>
    </row>
    <row r="76" spans="2:6" s="121" customFormat="1" ht="10.5" customHeight="1">
      <c r="B76" s="2624"/>
      <c r="C76" s="1704" t="s">
        <v>176</v>
      </c>
      <c r="D76" s="1742">
        <f>'[3]Жиловка КРС'!$B$19</f>
        <v>0.73705095645030538</v>
      </c>
      <c r="E76" s="1743">
        <v>0.64710660885697746</v>
      </c>
      <c r="F76" s="123">
        <f t="shared" si="5"/>
        <v>-8.9944347593327922E-2</v>
      </c>
    </row>
    <row r="77" spans="2:6" s="121" customFormat="1" ht="10.5" customHeight="1" thickBot="1">
      <c r="B77" s="130" t="s">
        <v>477</v>
      </c>
      <c r="C77" s="1705" t="s">
        <v>12</v>
      </c>
      <c r="D77" s="1734">
        <f>'пром.пр-ва факт'!D2</f>
        <v>1266.9679999999998</v>
      </c>
      <c r="E77" s="1747">
        <f>'пром.пр-ва факт'!D3</f>
        <v>1186.2150502999998</v>
      </c>
      <c r="F77" s="123">
        <f t="shared" si="5"/>
        <v>-80.752949700000045</v>
      </c>
    </row>
    <row r="78" spans="2:6" s="121" customFormat="1" ht="10.5" customHeight="1" thickBot="1">
      <c r="B78" s="2621" t="s">
        <v>423</v>
      </c>
      <c r="C78" s="2622"/>
      <c r="D78" s="1716" t="s">
        <v>42</v>
      </c>
      <c r="E78" s="1717" t="s">
        <v>43</v>
      </c>
      <c r="F78" s="169" t="s">
        <v>140</v>
      </c>
    </row>
    <row r="79" spans="2:6" s="121" customFormat="1" ht="10.5" customHeight="1">
      <c r="B79" s="131" t="s">
        <v>181</v>
      </c>
      <c r="C79" s="1706" t="s">
        <v>159</v>
      </c>
      <c r="D79" s="1748">
        <f>'обор. ш-1'!B31</f>
        <v>8934</v>
      </c>
      <c r="E79" s="1748">
        <f>'обор. ш-1'!B32</f>
        <v>8949</v>
      </c>
      <c r="F79" s="5">
        <f>E79-D76</f>
        <v>8948.2629490435502</v>
      </c>
    </row>
    <row r="80" spans="2:6" s="121" customFormat="1" ht="10.5" customHeight="1">
      <c r="B80" s="2625" t="s">
        <v>652</v>
      </c>
      <c r="C80" s="1707" t="s">
        <v>159</v>
      </c>
      <c r="D80" s="1749">
        <f>'обор. ш-1'!H31</f>
        <v>2783</v>
      </c>
      <c r="E80" s="1749">
        <f>'обор. ш-1'!H32</f>
        <v>2434</v>
      </c>
      <c r="F80" s="5">
        <f>E80-D77</f>
        <v>1167.0320000000002</v>
      </c>
    </row>
    <row r="81" spans="2:6" s="121" customFormat="1" ht="10.5" customHeight="1">
      <c r="B81" s="2626"/>
      <c r="C81" s="1707" t="s">
        <v>12</v>
      </c>
      <c r="D81" s="1749">
        <f>'обор. ш-1'!I31</f>
        <v>83.465000000000003</v>
      </c>
      <c r="E81" s="1749">
        <f>'обор. ш-1'!I32</f>
        <v>111.58199999999999</v>
      </c>
      <c r="F81" s="5">
        <f>E81-D81</f>
        <v>28.11699999999999</v>
      </c>
    </row>
    <row r="82" spans="2:6" s="121" customFormat="1" ht="10.5" hidden="1" customHeight="1" outlineLevel="1">
      <c r="B82" s="2626"/>
      <c r="C82" s="1707" t="s">
        <v>183</v>
      </c>
      <c r="D82" s="1750">
        <f>D83/D81</f>
        <v>0</v>
      </c>
      <c r="E82" s="1751"/>
      <c r="F82" s="5">
        <f t="shared" ref="F82:F94" si="6">E82-D82</f>
        <v>0</v>
      </c>
    </row>
    <row r="83" spans="2:6" s="121" customFormat="1" ht="10.5" hidden="1" customHeight="1" outlineLevel="1">
      <c r="B83" s="2627"/>
      <c r="C83" s="1707" t="s">
        <v>39</v>
      </c>
      <c r="D83" s="1752"/>
      <c r="E83" s="1753"/>
      <c r="F83" s="5">
        <f t="shared" si="6"/>
        <v>0</v>
      </c>
    </row>
    <row r="84" spans="2:6" s="121" customFormat="1" ht="10.5" customHeight="1" collapsed="1">
      <c r="B84" s="128" t="s">
        <v>184</v>
      </c>
      <c r="C84" s="1700" t="s">
        <v>185</v>
      </c>
      <c r="D84" s="1722">
        <f>'обор. ш-1'!AC31</f>
        <v>614.73210659231177</v>
      </c>
      <c r="E84" s="1723">
        <f>'обор. ш-1'!AC32</f>
        <v>612.99743536254641</v>
      </c>
      <c r="F84" s="5">
        <f t="shared" si="6"/>
        <v>-1.7346712297653539</v>
      </c>
    </row>
    <row r="85" spans="2:6" s="121" customFormat="1" ht="10.5" customHeight="1">
      <c r="B85" s="128" t="s">
        <v>186</v>
      </c>
      <c r="C85" s="1700" t="s">
        <v>185</v>
      </c>
      <c r="D85" s="1722">
        <f>'обор. ш-1'!AC25</f>
        <v>832.99999999999989</v>
      </c>
      <c r="E85" s="1723">
        <f>'обор. ш-1'!AC26</f>
        <v>830.62198813275938</v>
      </c>
      <c r="F85" s="5">
        <f t="shared" si="6"/>
        <v>-2.3780118672405024</v>
      </c>
    </row>
    <row r="86" spans="2:6" s="121" customFormat="1" ht="10.5" customHeight="1">
      <c r="B86" s="128" t="s">
        <v>187</v>
      </c>
      <c r="C86" s="1700" t="s">
        <v>159</v>
      </c>
      <c r="D86" s="1722"/>
      <c r="E86" s="1723"/>
      <c r="F86" s="5">
        <f t="shared" si="6"/>
        <v>0</v>
      </c>
    </row>
    <row r="87" spans="2:6" s="121" customFormat="1" ht="10.5" customHeight="1">
      <c r="B87" s="128" t="s">
        <v>188</v>
      </c>
      <c r="C87" s="1700" t="s">
        <v>159</v>
      </c>
      <c r="D87" s="1722"/>
      <c r="E87" s="1723"/>
      <c r="F87" s="5">
        <f t="shared" si="6"/>
        <v>0</v>
      </c>
    </row>
    <row r="88" spans="2:6" s="121" customFormat="1" ht="10.5" customHeight="1">
      <c r="B88" s="128" t="s">
        <v>189</v>
      </c>
      <c r="C88" s="1700" t="s">
        <v>159</v>
      </c>
      <c r="D88" s="1722"/>
      <c r="E88" s="1723"/>
      <c r="F88" s="5">
        <f t="shared" si="6"/>
        <v>0</v>
      </c>
    </row>
    <row r="89" spans="2:6" s="121" customFormat="1" ht="10.5" customHeight="1">
      <c r="B89" s="128" t="s">
        <v>190</v>
      </c>
      <c r="C89" s="1700" t="s">
        <v>159</v>
      </c>
      <c r="D89" s="1722">
        <f>'обор. ш-1'!S31</f>
        <v>2621.77</v>
      </c>
      <c r="E89" s="1723">
        <f>'обор. ш-1'!S32</f>
        <v>1915</v>
      </c>
      <c r="F89" s="5">
        <f t="shared" si="6"/>
        <v>-706.77</v>
      </c>
    </row>
    <row r="90" spans="2:6" s="121" customFormat="1" ht="10.5" customHeight="1">
      <c r="B90" s="128" t="s">
        <v>191</v>
      </c>
      <c r="C90" s="1700" t="s">
        <v>12</v>
      </c>
      <c r="D90" s="1722">
        <f>'обор. ш-1'!L31</f>
        <v>1945.3973499552001</v>
      </c>
      <c r="E90" s="1723">
        <f>'обор. ш-1'!L32</f>
        <v>1998.1999999999998</v>
      </c>
      <c r="F90" s="5">
        <f t="shared" si="6"/>
        <v>52.802650044799748</v>
      </c>
    </row>
    <row r="91" spans="2:6" s="121" customFormat="1" ht="10.5" customHeight="1">
      <c r="B91" s="128" t="s">
        <v>192</v>
      </c>
      <c r="C91" s="1700" t="s">
        <v>12</v>
      </c>
      <c r="D91" s="1722">
        <f>'св-во Ш1 факт'!L6</f>
        <v>1899.6572500000002</v>
      </c>
      <c r="E91" s="1723">
        <f>'св-во Ш1 факт'!L7</f>
        <v>1974.3249999999998</v>
      </c>
      <c r="F91" s="5">
        <f t="shared" si="6"/>
        <v>74.667749999999614</v>
      </c>
    </row>
    <row r="92" spans="2:6" s="121" customFormat="1" ht="11.25" customHeight="1">
      <c r="B92" s="128" t="s">
        <v>193</v>
      </c>
      <c r="C92" s="1700" t="s">
        <v>194</v>
      </c>
      <c r="D92" s="1754">
        <f>'св-во Ш1 факт'!M50</f>
        <v>85.797643672693354</v>
      </c>
      <c r="E92" s="1723">
        <f>'св-во Ш1 факт'!L50</f>
        <v>86.696152756005233</v>
      </c>
      <c r="F92" s="5">
        <f t="shared" si="6"/>
        <v>0.89850908331187895</v>
      </c>
    </row>
    <row r="93" spans="2:6" s="121" customFormat="1" ht="10.5" customHeight="1">
      <c r="B93" s="128" t="s">
        <v>195</v>
      </c>
      <c r="C93" s="1700" t="s">
        <v>159</v>
      </c>
      <c r="D93" s="1722">
        <f>'обор. ш-1'!W31</f>
        <v>8657.4</v>
      </c>
      <c r="E93" s="1723">
        <f>'обор. ш-1'!W32</f>
        <v>10463</v>
      </c>
      <c r="F93" s="5">
        <f t="shared" si="6"/>
        <v>1805.6000000000004</v>
      </c>
    </row>
    <row r="94" spans="2:6" s="121" customFormat="1" ht="10.5" customHeight="1" thickBot="1">
      <c r="B94" s="129" t="s">
        <v>186</v>
      </c>
      <c r="C94" s="1703" t="s">
        <v>159</v>
      </c>
      <c r="D94" s="1734">
        <f>'обор. ш-1'!W25</f>
        <v>5297.24</v>
      </c>
      <c r="E94" s="1735">
        <f>'обор. ш-1'!W26</f>
        <v>4213</v>
      </c>
      <c r="F94" s="5">
        <f t="shared" si="6"/>
        <v>-1084.2399999999998</v>
      </c>
    </row>
    <row r="95" spans="2:6" s="121" customFormat="1" ht="10.5" customHeight="1" thickBot="1">
      <c r="B95" s="2621" t="s">
        <v>424</v>
      </c>
      <c r="C95" s="2622"/>
      <c r="D95" s="1716" t="s">
        <v>42</v>
      </c>
      <c r="E95" s="1717" t="s">
        <v>43</v>
      </c>
      <c r="F95" s="169" t="s">
        <v>140</v>
      </c>
    </row>
    <row r="96" spans="2:6" s="121" customFormat="1" ht="10.5" customHeight="1">
      <c r="B96" s="131" t="s">
        <v>181</v>
      </c>
      <c r="C96" s="1706" t="s">
        <v>159</v>
      </c>
      <c r="D96" s="1748">
        <f>'обор.шув-2,3'!B34</f>
        <v>7893</v>
      </c>
      <c r="E96" s="1755">
        <f>'обор.шув-2,3'!B35</f>
        <v>7893</v>
      </c>
      <c r="F96" s="5">
        <f>E96-D96</f>
        <v>0</v>
      </c>
    </row>
    <row r="97" spans="2:6" s="121" customFormat="1" ht="10.5" hidden="1" customHeight="1" outlineLevel="1">
      <c r="B97" s="2625" t="s">
        <v>182</v>
      </c>
      <c r="C97" s="1707" t="s">
        <v>159</v>
      </c>
      <c r="D97" s="1749">
        <f>'обор.шув-2,3'!F34</f>
        <v>0</v>
      </c>
      <c r="E97" s="1755">
        <f>'обор.шув-2,3'!F35</f>
        <v>12</v>
      </c>
      <c r="F97" s="5">
        <f>E97-D97</f>
        <v>12</v>
      </c>
    </row>
    <row r="98" spans="2:6" s="121" customFormat="1" ht="10.5" hidden="1" customHeight="1" outlineLevel="1">
      <c r="B98" s="2626"/>
      <c r="C98" s="1707" t="s">
        <v>12</v>
      </c>
      <c r="D98" s="1749">
        <f>'обор.шув-2,3'!G34</f>
        <v>0</v>
      </c>
      <c r="E98" s="1755">
        <f>'обор.шув-2,3'!G35</f>
        <v>1.8</v>
      </c>
      <c r="F98" s="5">
        <f>E98-D98</f>
        <v>1.8</v>
      </c>
    </row>
    <row r="99" spans="2:6" s="121" customFormat="1" ht="10.5" hidden="1" customHeight="1" outlineLevel="1">
      <c r="B99" s="2626"/>
      <c r="C99" s="1707" t="s">
        <v>183</v>
      </c>
      <c r="D99" s="1750"/>
      <c r="E99" s="1751"/>
      <c r="F99" s="5"/>
    </row>
    <row r="100" spans="2:6" s="121" customFormat="1" ht="10.5" hidden="1" customHeight="1" outlineLevel="1">
      <c r="B100" s="2627"/>
      <c r="C100" s="1707" t="s">
        <v>39</v>
      </c>
      <c r="D100" s="1752">
        <f>38*D97</f>
        <v>0</v>
      </c>
      <c r="E100" s="1753"/>
      <c r="F100" s="5">
        <f t="shared" ref="F100:F125" si="7">E100-D100</f>
        <v>0</v>
      </c>
    </row>
    <row r="101" spans="2:6" s="121" customFormat="1" ht="10.5" customHeight="1" collapsed="1">
      <c r="B101" s="128" t="s">
        <v>184</v>
      </c>
      <c r="C101" s="1700" t="s">
        <v>185</v>
      </c>
      <c r="D101" s="1722">
        <f>'обор.шув-2,3'!AE34</f>
        <v>430.58240870246885</v>
      </c>
      <c r="E101" s="1723">
        <f>'обор.шув-2,3'!AE35</f>
        <v>459.78872547361163</v>
      </c>
      <c r="F101" s="5">
        <f t="shared" si="7"/>
        <v>29.206316771142781</v>
      </c>
    </row>
    <row r="102" spans="2:6" s="121" customFormat="1" ht="10.5" customHeight="1">
      <c r="B102" s="128" t="s">
        <v>187</v>
      </c>
      <c r="C102" s="1700" t="s">
        <v>159</v>
      </c>
      <c r="D102" s="1722">
        <f>D103/D104</f>
        <v>2726.0833333333335</v>
      </c>
      <c r="E102" s="1722">
        <f>'обор.шув-2,3'!AB49</f>
        <v>2639</v>
      </c>
      <c r="F102" s="5">
        <f t="shared" si="7"/>
        <v>-87.083333333333485</v>
      </c>
    </row>
    <row r="103" spans="2:6" s="121" customFormat="1" ht="10.5" customHeight="1">
      <c r="B103" s="128" t="s">
        <v>188</v>
      </c>
      <c r="C103" s="1700" t="s">
        <v>159</v>
      </c>
      <c r="D103" s="1722">
        <f>'обор.шув-2,3'!D34</f>
        <v>32713</v>
      </c>
      <c r="E103" s="1723">
        <f>'обор.шув-2,3'!D35</f>
        <v>33515</v>
      </c>
      <c r="F103" s="5">
        <f t="shared" si="7"/>
        <v>802</v>
      </c>
    </row>
    <row r="104" spans="2:6" s="121" customFormat="1" ht="10.5" customHeight="1">
      <c r="B104" s="128" t="s">
        <v>189</v>
      </c>
      <c r="C104" s="1700" t="s">
        <v>159</v>
      </c>
      <c r="D104" s="1722">
        <v>12</v>
      </c>
      <c r="E104" s="1723">
        <f>E103/E102</f>
        <v>12.699886320575976</v>
      </c>
      <c r="F104" s="5">
        <f t="shared" si="7"/>
        <v>0.69988632057597577</v>
      </c>
    </row>
    <row r="105" spans="2:6" s="121" customFormat="1" ht="10.5" customHeight="1">
      <c r="B105" s="128" t="s">
        <v>500</v>
      </c>
      <c r="C105" s="1700" t="s">
        <v>159</v>
      </c>
      <c r="D105" s="1722">
        <f>'обор.шув-2,3'!W34</f>
        <v>743.62249999999995</v>
      </c>
      <c r="E105" s="1723">
        <f>'обор.шув-2,3'!W35</f>
        <v>1162</v>
      </c>
      <c r="F105" s="5">
        <f t="shared" si="7"/>
        <v>418.37750000000005</v>
      </c>
    </row>
    <row r="106" spans="2:6" s="121" customFormat="1" ht="10.5" customHeight="1">
      <c r="B106" s="128" t="s">
        <v>190</v>
      </c>
      <c r="C106" s="1700" t="s">
        <v>159</v>
      </c>
      <c r="D106" s="1722">
        <f>'обор.шув-2,3'!U34</f>
        <v>4165.7224999999999</v>
      </c>
      <c r="E106" s="1723">
        <f>'обор.шув-2,3'!U35</f>
        <v>5159</v>
      </c>
      <c r="F106" s="5">
        <f t="shared" si="7"/>
        <v>993.27750000000015</v>
      </c>
    </row>
    <row r="107" spans="2:6" s="121" customFormat="1" ht="10.5" customHeight="1">
      <c r="B107" s="128" t="s">
        <v>191</v>
      </c>
      <c r="C107" s="1700" t="s">
        <v>12</v>
      </c>
      <c r="D107" s="1722">
        <f>'обор.шув-2,3'!L34</f>
        <v>1189.0398524999998</v>
      </c>
      <c r="E107" s="1723">
        <f>'обор.шув-2,3'!L35</f>
        <v>1141.58</v>
      </c>
      <c r="F107" s="5">
        <f t="shared" si="7"/>
        <v>-47.459852499999897</v>
      </c>
    </row>
    <row r="108" spans="2:6" s="121" customFormat="1" ht="10.5" customHeight="1">
      <c r="B108" s="128" t="s">
        <v>192</v>
      </c>
      <c r="C108" s="1700" t="s">
        <v>12</v>
      </c>
      <c r="D108" s="1722">
        <f>'св-во Ш2,3 факт'!K6</f>
        <v>1215.2459374999999</v>
      </c>
      <c r="E108" s="1723">
        <f>'св-во Ш2,3 факт'!K7</f>
        <v>1160.74</v>
      </c>
      <c r="F108" s="5">
        <f t="shared" si="7"/>
        <v>-54.505937499999845</v>
      </c>
    </row>
    <row r="109" spans="2:6" s="121" customFormat="1" ht="11.25" customHeight="1">
      <c r="B109" s="128" t="s">
        <v>193</v>
      </c>
      <c r="C109" s="1700" t="s">
        <v>194</v>
      </c>
      <c r="D109" s="1754">
        <f>'св-во Ш2,3 факт'!L59</f>
        <v>102.61810473137547</v>
      </c>
      <c r="E109" s="1723">
        <f>'св-во Ш2,3 факт'!K59</f>
        <v>110.83423928700655</v>
      </c>
      <c r="F109" s="5">
        <f t="shared" si="7"/>
        <v>8.2161345556310863</v>
      </c>
    </row>
    <row r="110" spans="2:6" s="121" customFormat="1" ht="10.5" customHeight="1" thickBot="1">
      <c r="B110" s="128" t="s">
        <v>195</v>
      </c>
      <c r="C110" s="1700" t="s">
        <v>159</v>
      </c>
      <c r="D110" s="1722">
        <f>'обор.шув-2,3'!Y34</f>
        <v>8268.6550000000007</v>
      </c>
      <c r="E110" s="1723">
        <f>'обор.шув-2,3'!Y35</f>
        <v>8608</v>
      </c>
      <c r="F110" s="5">
        <f t="shared" si="7"/>
        <v>339.34499999999935</v>
      </c>
    </row>
    <row r="111" spans="2:6" s="121" customFormat="1" ht="10.5" customHeight="1" thickBot="1">
      <c r="B111" s="2621" t="s">
        <v>474</v>
      </c>
      <c r="C111" s="2622"/>
      <c r="D111" s="1716" t="s">
        <v>42</v>
      </c>
      <c r="E111" s="1717" t="s">
        <v>43</v>
      </c>
      <c r="F111" s="169" t="s">
        <v>140</v>
      </c>
    </row>
    <row r="112" spans="2:6" s="121" customFormat="1" ht="10.5" customHeight="1">
      <c r="B112" s="131" t="s">
        <v>181</v>
      </c>
      <c r="C112" s="1708" t="s">
        <v>159</v>
      </c>
      <c r="D112" s="1748">
        <f>'обор.шув-2,3'!B43</f>
        <v>5419</v>
      </c>
      <c r="E112" s="1763">
        <f>'обор.шув-2,3'!B44</f>
        <v>5419</v>
      </c>
      <c r="F112" s="1760">
        <f t="shared" si="7"/>
        <v>0</v>
      </c>
    </row>
    <row r="113" spans="1:6" s="121" customFormat="1" ht="10.5" customHeight="1">
      <c r="B113" s="2618" t="s">
        <v>502</v>
      </c>
      <c r="C113" s="1709" t="s">
        <v>159</v>
      </c>
      <c r="D113" s="1749">
        <f>'обор.шув-2,3'!H43</f>
        <v>27402</v>
      </c>
      <c r="E113" s="1755">
        <f>'обор.шув-2,3'!H44</f>
        <v>26258</v>
      </c>
      <c r="F113" s="5">
        <f t="shared" si="7"/>
        <v>-1144</v>
      </c>
    </row>
    <row r="114" spans="1:6" s="121" customFormat="1" ht="10.5" customHeight="1">
      <c r="B114" s="2619"/>
      <c r="C114" s="1709" t="s">
        <v>12</v>
      </c>
      <c r="D114" s="1749">
        <f>'обор.шув-2,3'!I43</f>
        <v>1069.489</v>
      </c>
      <c r="E114" s="1755">
        <f>'обор.шув-2,3'!I44</f>
        <v>1023.769</v>
      </c>
      <c r="F114" s="5">
        <f t="shared" si="7"/>
        <v>-45.720000000000027</v>
      </c>
    </row>
    <row r="115" spans="1:6" s="121" customFormat="1" ht="10.5" customHeight="1">
      <c r="B115" s="2620"/>
      <c r="C115" s="1707" t="s">
        <v>498</v>
      </c>
      <c r="D115" s="1749">
        <f>D114/D113*1000</f>
        <v>39.029596379826287</v>
      </c>
      <c r="E115" s="1755">
        <f>E114/E113*1000</f>
        <v>38.988841495925051</v>
      </c>
      <c r="F115" s="5">
        <f t="shared" si="7"/>
        <v>-4.0754883901236383E-2</v>
      </c>
    </row>
    <row r="116" spans="1:6" s="121" customFormat="1" ht="10.5" customHeight="1">
      <c r="B116" s="2618" t="s">
        <v>499</v>
      </c>
      <c r="C116" s="1709" t="s">
        <v>159</v>
      </c>
      <c r="D116" s="1749">
        <f>'обор.шув-2,3'!Q43+'обор.шув-2,3'!S43</f>
        <v>23722</v>
      </c>
      <c r="E116" s="1755">
        <f>'обор.шув-2,3'!Q44+'обор.шув-2,3'!S44</f>
        <v>24967</v>
      </c>
      <c r="F116" s="5">
        <f t="shared" si="7"/>
        <v>1245</v>
      </c>
    </row>
    <row r="117" spans="1:6" s="121" customFormat="1" ht="10.5" customHeight="1">
      <c r="B117" s="2619"/>
      <c r="C117" s="1709" t="s">
        <v>12</v>
      </c>
      <c r="D117" s="1749">
        <f>'обор.шув-2,3'!R43+'обор.шув-2,3'!T43</f>
        <v>2494.4369999999999</v>
      </c>
      <c r="E117" s="1755">
        <f>'обор.шув-2,3'!R44+'обор.шув-2,3'!T44</f>
        <v>2634.7629999999999</v>
      </c>
      <c r="F117" s="5">
        <f t="shared" si="7"/>
        <v>140.32600000000002</v>
      </c>
    </row>
    <row r="118" spans="1:6" s="121" customFormat="1" ht="10.5" customHeight="1">
      <c r="B118" s="2620"/>
      <c r="C118" s="1707" t="s">
        <v>498</v>
      </c>
      <c r="D118" s="1749">
        <f>D117/D116*1000</f>
        <v>105.15289604586459</v>
      </c>
      <c r="E118" s="1755">
        <f>E117/E116*1000</f>
        <v>105.52981936155726</v>
      </c>
      <c r="F118" s="5">
        <f t="shared" si="7"/>
        <v>0.37692331569266457</v>
      </c>
    </row>
    <row r="119" spans="1:6" s="121" customFormat="1" ht="10.5" customHeight="1">
      <c r="B119" s="128" t="s">
        <v>475</v>
      </c>
      <c r="C119" s="1700" t="s">
        <v>185</v>
      </c>
      <c r="D119" s="1722">
        <f>'обор.шув-2,3'!AE43</f>
        <v>819.4696265897644</v>
      </c>
      <c r="E119" s="1723">
        <f>'обор.шув-2,3'!AE44</f>
        <v>833.36538695680906</v>
      </c>
      <c r="F119" s="5">
        <f t="shared" si="7"/>
        <v>13.895760367044659</v>
      </c>
    </row>
    <row r="120" spans="1:6" s="121" customFormat="1" ht="10.5" customHeight="1">
      <c r="B120" s="128" t="s">
        <v>500</v>
      </c>
      <c r="C120" s="1709" t="s">
        <v>159</v>
      </c>
      <c r="D120" s="1722">
        <f>'обор.шув-2,3'!W43</f>
        <v>271.07000000000005</v>
      </c>
      <c r="E120" s="1723">
        <f>'обор.шув-2,3'!W44</f>
        <v>163</v>
      </c>
      <c r="F120" s="5">
        <f t="shared" si="7"/>
        <v>-108.07000000000005</v>
      </c>
    </row>
    <row r="121" spans="1:6" s="121" customFormat="1" ht="10.5" customHeight="1">
      <c r="B121" s="128" t="s">
        <v>190</v>
      </c>
      <c r="C121" s="1700" t="s">
        <v>159</v>
      </c>
      <c r="D121" s="1722">
        <f>'обор.шув-2,3'!U43</f>
        <v>276.08000000000004</v>
      </c>
      <c r="E121" s="1723">
        <f>'обор.шув-2,3'!U44</f>
        <v>349</v>
      </c>
      <c r="F121" s="5">
        <f t="shared" si="7"/>
        <v>72.919999999999959</v>
      </c>
    </row>
    <row r="122" spans="1:6" s="121" customFormat="1" ht="10.5" customHeight="1">
      <c r="B122" s="128" t="s">
        <v>191</v>
      </c>
      <c r="C122" s="1700" t="s">
        <v>12</v>
      </c>
      <c r="D122" s="1722">
        <f>'обор.шув-2,3'!L43</f>
        <v>1571.0996799999998</v>
      </c>
      <c r="E122" s="1723">
        <f>'обор.шув-2,3'!L44</f>
        <v>1676.942</v>
      </c>
      <c r="F122" s="5">
        <f t="shared" si="7"/>
        <v>105.8423200000002</v>
      </c>
    </row>
    <row r="123" spans="1:6" s="121" customFormat="1" ht="10.5" customHeight="1">
      <c r="B123" s="128" t="s">
        <v>192</v>
      </c>
      <c r="C123" s="1700" t="s">
        <v>12</v>
      </c>
      <c r="D123" s="1722">
        <f>'св-во шув-2 план'!M4</f>
        <v>1557.8573899999999</v>
      </c>
      <c r="E123" s="1723">
        <f>'св-во Ш2,3 факт'!O7</f>
        <v>1654.8720000000001</v>
      </c>
      <c r="F123" s="5">
        <f t="shared" si="7"/>
        <v>97.014610000000175</v>
      </c>
    </row>
    <row r="124" spans="1:6" s="121" customFormat="1" ht="11.25" customHeight="1">
      <c r="B124" s="128" t="s">
        <v>193</v>
      </c>
      <c r="C124" s="1700" t="s">
        <v>194</v>
      </c>
      <c r="D124" s="1754">
        <f>'св-во Ш2,3 факт'!P59</f>
        <v>88.038756714906356</v>
      </c>
      <c r="E124" s="1723">
        <f>'св-во Ш2,3 факт'!O59</f>
        <v>74.951621505469916</v>
      </c>
      <c r="F124" s="5">
        <f t="shared" si="7"/>
        <v>-13.08713520943644</v>
      </c>
    </row>
    <row r="125" spans="1:6" s="121" customFormat="1" ht="10.5" customHeight="1" thickBot="1">
      <c r="B125" s="129" t="s">
        <v>195</v>
      </c>
      <c r="C125" s="1703" t="s">
        <v>159</v>
      </c>
      <c r="D125" s="1734">
        <f>'обор.шув-2,3'!Y43</f>
        <v>8551.85</v>
      </c>
      <c r="E125" s="1735">
        <f>'обор.шув-2,3'!Y44</f>
        <v>6126</v>
      </c>
      <c r="F125" s="1761">
        <f t="shared" si="7"/>
        <v>-2425.8500000000004</v>
      </c>
    </row>
    <row r="126" spans="1:6" ht="10.5" customHeight="1">
      <c r="A126" s="121"/>
      <c r="B126" s="121"/>
      <c r="C126" s="132"/>
      <c r="D126" s="1756"/>
      <c r="E126" s="868"/>
      <c r="F126" s="171"/>
    </row>
  </sheetData>
  <mergeCells count="27">
    <mergeCell ref="B113:B115"/>
    <mergeCell ref="B116:B118"/>
    <mergeCell ref="B111:C111"/>
    <mergeCell ref="B40:B42"/>
    <mergeCell ref="B73:B74"/>
    <mergeCell ref="B75:B76"/>
    <mergeCell ref="B80:B83"/>
    <mergeCell ref="B78:C78"/>
    <mergeCell ref="B95:C95"/>
    <mergeCell ref="B97:B100"/>
    <mergeCell ref="B67:B68"/>
    <mergeCell ref="B69:B70"/>
    <mergeCell ref="B71:B72"/>
    <mergeCell ref="B50:B53"/>
    <mergeCell ref="B65:B66"/>
    <mergeCell ref="B56:C56"/>
    <mergeCell ref="B64:C64"/>
    <mergeCell ref="B2:C2"/>
    <mergeCell ref="B18:C18"/>
    <mergeCell ref="B26:B29"/>
    <mergeCell ref="B37:B39"/>
    <mergeCell ref="B46:B48"/>
    <mergeCell ref="B32:C32"/>
    <mergeCell ref="B20:B22"/>
    <mergeCell ref="B23:B25"/>
    <mergeCell ref="B43:B45"/>
    <mergeCell ref="B34:B36"/>
  </mergeCells>
  <phoneticPr fontId="18" type="noConversion"/>
  <pageMargins left="0.27559055118110237" right="0.27559055118110237" top="0.43307086614173229" bottom="0.31496062992125984" header="0.23622047244094491" footer="0.19685039370078741"/>
  <pageSetup paperSize="9" scale="95" orientation="portrait" r:id="rId1"/>
  <headerFooter alignWithMargins="0">
    <oddHeader>&amp;R&amp;F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AO1456"/>
  <sheetViews>
    <sheetView workbookViewId="0">
      <pane xSplit="1" ySplit="4" topLeftCell="Z71" activePane="bottomRight" state="frozen"/>
      <selection pane="topRight" activeCell="B1" sqref="B1"/>
      <selection pane="bottomLeft" activeCell="A5" sqref="A5"/>
      <selection pane="bottomRight" activeCell="AK83" sqref="AK83"/>
    </sheetView>
  </sheetViews>
  <sheetFormatPr defaultRowHeight="9.75" outlineLevelRow="1" outlineLevelCol="1"/>
  <cols>
    <col min="1" max="1" width="25.85546875" style="233" customWidth="1"/>
    <col min="2" max="2" width="5.85546875" style="219" customWidth="1"/>
    <col min="3" max="3" width="5.140625" style="219" hidden="1" customWidth="1" outlineLevel="1"/>
    <col min="4" max="7" width="4.85546875" style="219" hidden="1" customWidth="1" outlineLevel="1"/>
    <col min="8" max="8" width="5.5703125" style="401" hidden="1" customWidth="1" outlineLevel="1"/>
    <col min="9" max="9" width="6.42578125" style="219" customWidth="1" collapsed="1"/>
    <col min="10" max="10" width="6.140625" style="219" customWidth="1"/>
    <col min="11" max="11" width="5.7109375" style="219" customWidth="1"/>
    <col min="12" max="12" width="5.28515625" style="219" customWidth="1"/>
    <col min="13" max="13" width="6.28515625" style="219" customWidth="1"/>
    <col min="14" max="15" width="6.85546875" style="219" customWidth="1"/>
    <col min="16" max="16" width="6.28515625" style="219" customWidth="1"/>
    <col min="17" max="20" width="6.85546875" style="219" customWidth="1"/>
    <col min="21" max="21" width="5.7109375" style="219" customWidth="1"/>
    <col min="22" max="24" width="6.85546875" style="219" customWidth="1"/>
    <col min="25" max="25" width="6.28515625" style="219" customWidth="1"/>
    <col min="26" max="26" width="7" style="219" customWidth="1"/>
    <col min="27" max="27" width="6.28515625" style="219" customWidth="1"/>
    <col min="28" max="28" width="5.42578125" style="219" customWidth="1"/>
    <col min="29" max="29" width="6.28515625" style="219" customWidth="1"/>
    <col min="30" max="30" width="5.140625" style="219" customWidth="1"/>
    <col min="31" max="32" width="6.85546875" style="219" customWidth="1"/>
    <col min="33" max="33" width="6.42578125" style="219" customWidth="1"/>
    <col min="34" max="34" width="6.28515625" style="219" customWidth="1"/>
    <col min="35" max="35" width="5.5703125" style="219" customWidth="1"/>
    <col min="36" max="36" width="6.85546875" style="219" customWidth="1"/>
    <col min="37" max="37" width="6.28515625" style="219" customWidth="1"/>
    <col min="38" max="38" width="5.5703125" style="219" customWidth="1"/>
    <col min="39" max="39" width="6.140625" style="219" customWidth="1"/>
    <col min="40" max="40" width="6.5703125" style="219" customWidth="1"/>
    <col min="41" max="16384" width="9.140625" style="219"/>
  </cols>
  <sheetData>
    <row r="1" spans="1:40" ht="10.5" customHeight="1" thickBot="1">
      <c r="A1" s="2637" t="s">
        <v>663</v>
      </c>
      <c r="B1" s="2637"/>
      <c r="C1" s="2637"/>
      <c r="D1" s="2637"/>
      <c r="E1" s="2637"/>
      <c r="F1" s="2637"/>
      <c r="G1" s="2637"/>
      <c r="H1" s="2637"/>
      <c r="I1" s="2637"/>
      <c r="J1" s="2648" t="s">
        <v>632</v>
      </c>
      <c r="K1" s="2648"/>
      <c r="L1" s="2648"/>
      <c r="M1" s="1386">
        <v>0.312</v>
      </c>
    </row>
    <row r="2" spans="1:40" s="221" customFormat="1" ht="9.75" customHeight="1" thickBot="1">
      <c r="A2" s="2638" t="s">
        <v>58</v>
      </c>
      <c r="B2" s="2640" t="s">
        <v>362</v>
      </c>
      <c r="C2" s="2645" t="s">
        <v>363</v>
      </c>
      <c r="D2" s="2646"/>
      <c r="E2" s="2646"/>
      <c r="F2" s="2646"/>
      <c r="G2" s="2646"/>
      <c r="H2" s="2647"/>
      <c r="I2" s="2640" t="s">
        <v>364</v>
      </c>
      <c r="J2" s="2642" t="s">
        <v>365</v>
      </c>
      <c r="K2" s="2643"/>
      <c r="L2" s="2643"/>
      <c r="M2" s="2644"/>
      <c r="N2" s="2661" t="s">
        <v>366</v>
      </c>
      <c r="O2" s="2662"/>
      <c r="P2" s="2662"/>
      <c r="Q2" s="2663"/>
      <c r="R2" s="2664" t="s">
        <v>367</v>
      </c>
      <c r="S2" s="2665"/>
      <c r="T2" s="2665"/>
      <c r="U2" s="2666"/>
      <c r="V2" s="2664" t="s">
        <v>368</v>
      </c>
      <c r="W2" s="2665"/>
      <c r="X2" s="2665"/>
      <c r="Y2" s="2666"/>
      <c r="Z2" s="2659" t="s">
        <v>609</v>
      </c>
      <c r="AA2" s="2640" t="s">
        <v>610</v>
      </c>
      <c r="AB2" s="2640" t="s">
        <v>602</v>
      </c>
      <c r="AC2" s="2655" t="s">
        <v>369</v>
      </c>
      <c r="AD2" s="2640" t="s">
        <v>611</v>
      </c>
      <c r="AE2" s="2632" t="s">
        <v>370</v>
      </c>
      <c r="AF2" s="2633"/>
      <c r="AG2" s="2657" t="s">
        <v>371</v>
      </c>
      <c r="AH2" s="2634" t="s">
        <v>472</v>
      </c>
      <c r="AI2" s="2635"/>
      <c r="AJ2" s="2636"/>
      <c r="AK2" s="2655" t="s">
        <v>473</v>
      </c>
      <c r="AL2" s="2655" t="s">
        <v>372</v>
      </c>
      <c r="AM2" s="2655" t="s">
        <v>373</v>
      </c>
      <c r="AN2" s="2649" t="s">
        <v>374</v>
      </c>
    </row>
    <row r="3" spans="1:40" s="221" customFormat="1" ht="27.75" customHeight="1" thickBot="1">
      <c r="A3" s="2639"/>
      <c r="B3" s="2641"/>
      <c r="C3" s="331" t="s">
        <v>442</v>
      </c>
      <c r="D3" s="331" t="s">
        <v>443</v>
      </c>
      <c r="E3" s="331" t="s">
        <v>444</v>
      </c>
      <c r="F3" s="331" t="s">
        <v>445</v>
      </c>
      <c r="G3" s="331" t="s">
        <v>446</v>
      </c>
      <c r="H3" s="392" t="s">
        <v>447</v>
      </c>
      <c r="I3" s="2641"/>
      <c r="J3" s="220" t="s">
        <v>375</v>
      </c>
      <c r="K3" s="220" t="s">
        <v>59</v>
      </c>
      <c r="L3" s="220" t="s">
        <v>376</v>
      </c>
      <c r="M3" s="353" t="s">
        <v>377</v>
      </c>
      <c r="N3" s="1589" t="s">
        <v>425</v>
      </c>
      <c r="O3" s="330" t="s">
        <v>421</v>
      </c>
      <c r="P3" s="330" t="s">
        <v>426</v>
      </c>
      <c r="Q3" s="333" t="s">
        <v>427</v>
      </c>
      <c r="R3" s="1588" t="s">
        <v>425</v>
      </c>
      <c r="S3" s="330" t="s">
        <v>421</v>
      </c>
      <c r="T3" s="1590" t="s">
        <v>426</v>
      </c>
      <c r="U3" s="349" t="s">
        <v>428</v>
      </c>
      <c r="V3" s="1588" t="s">
        <v>425</v>
      </c>
      <c r="W3" s="330" t="s">
        <v>421</v>
      </c>
      <c r="X3" s="1590" t="s">
        <v>426</v>
      </c>
      <c r="Y3" s="349" t="s">
        <v>608</v>
      </c>
      <c r="Z3" s="2660"/>
      <c r="AA3" s="2641"/>
      <c r="AB3" s="2641"/>
      <c r="AC3" s="2656"/>
      <c r="AD3" s="2641"/>
      <c r="AE3" s="1259" t="s">
        <v>425</v>
      </c>
      <c r="AF3" s="1258" t="s">
        <v>421</v>
      </c>
      <c r="AG3" s="2658"/>
      <c r="AH3" s="381" t="s">
        <v>485</v>
      </c>
      <c r="AI3" s="381" t="s">
        <v>458</v>
      </c>
      <c r="AJ3" s="381" t="s">
        <v>471</v>
      </c>
      <c r="AK3" s="2656"/>
      <c r="AL3" s="2656"/>
      <c r="AM3" s="2656"/>
      <c r="AN3" s="2650"/>
    </row>
    <row r="4" spans="1:40" ht="10.5" customHeight="1" thickBot="1">
      <c r="A4" s="1591"/>
      <c r="B4" s="2651" t="s">
        <v>378</v>
      </c>
      <c r="C4" s="2652"/>
      <c r="D4" s="2652"/>
      <c r="E4" s="2652"/>
      <c r="F4" s="2652"/>
      <c r="G4" s="2652"/>
      <c r="H4" s="2652"/>
      <c r="I4" s="2652"/>
      <c r="J4" s="2652"/>
      <c r="K4" s="2652"/>
      <c r="L4" s="2652"/>
      <c r="M4" s="2652"/>
      <c r="N4" s="2652"/>
      <c r="O4" s="2652"/>
      <c r="P4" s="2652"/>
      <c r="Q4" s="2652"/>
      <c r="R4" s="2652"/>
      <c r="S4" s="2652"/>
      <c r="T4" s="2652"/>
      <c r="U4" s="2652"/>
      <c r="V4" s="2652"/>
      <c r="W4" s="2652"/>
      <c r="X4" s="2652"/>
      <c r="Y4" s="2652"/>
      <c r="Z4" s="2652"/>
      <c r="AA4" s="2652"/>
      <c r="AB4" s="2653"/>
      <c r="AC4" s="222"/>
      <c r="AD4" s="2654" t="s">
        <v>379</v>
      </c>
      <c r="AE4" s="2652"/>
      <c r="AF4" s="2652"/>
      <c r="AG4" s="2653"/>
      <c r="AH4" s="2654" t="s">
        <v>380</v>
      </c>
      <c r="AI4" s="2652"/>
      <c r="AJ4" s="2652"/>
      <c r="AK4" s="2653"/>
      <c r="AL4" s="222"/>
      <c r="AM4" s="223"/>
      <c r="AN4" s="224"/>
    </row>
    <row r="5" spans="1:40" s="226" customFormat="1" ht="12.75" customHeight="1" thickBot="1">
      <c r="A5" s="225" t="s">
        <v>60</v>
      </c>
      <c r="B5" s="235">
        <f t="shared" ref="B5:AJ5" si="0">B6+B9+B12+B15+B18+B21+B22</f>
        <v>236</v>
      </c>
      <c r="C5" s="334">
        <f t="shared" si="0"/>
        <v>0</v>
      </c>
      <c r="D5" s="234">
        <f t="shared" si="0"/>
        <v>0</v>
      </c>
      <c r="E5" s="234">
        <f t="shared" si="0"/>
        <v>0</v>
      </c>
      <c r="F5" s="234">
        <f t="shared" si="0"/>
        <v>0</v>
      </c>
      <c r="G5" s="234">
        <f t="shared" si="0"/>
        <v>0</v>
      </c>
      <c r="H5" s="393">
        <f t="shared" si="0"/>
        <v>0</v>
      </c>
      <c r="I5" s="235">
        <f t="shared" si="0"/>
        <v>7174.9789999999994</v>
      </c>
      <c r="J5" s="334">
        <f t="shared" si="0"/>
        <v>4375.9164666666666</v>
      </c>
      <c r="K5" s="234">
        <f t="shared" si="0"/>
        <v>649.46238613333344</v>
      </c>
      <c r="L5" s="234">
        <f t="shared" si="0"/>
        <v>283.20863093333338</v>
      </c>
      <c r="M5" s="235">
        <f t="shared" si="0"/>
        <v>5307.516483733335</v>
      </c>
      <c r="N5" s="234">
        <f t="shared" si="0"/>
        <v>35179.664400000001</v>
      </c>
      <c r="O5" s="234">
        <f t="shared" si="0"/>
        <v>6797.25</v>
      </c>
      <c r="P5" s="234">
        <f t="shared" si="0"/>
        <v>5800.32</v>
      </c>
      <c r="Q5" s="235">
        <f t="shared" si="0"/>
        <v>47777.234400000001</v>
      </c>
      <c r="R5" s="334">
        <f t="shared" si="0"/>
        <v>222.33024</v>
      </c>
      <c r="S5" s="234">
        <f t="shared" si="0"/>
        <v>15</v>
      </c>
      <c r="T5" s="234">
        <f t="shared" si="0"/>
        <v>0</v>
      </c>
      <c r="U5" s="235">
        <f t="shared" si="0"/>
        <v>237.33024</v>
      </c>
      <c r="V5" s="334">
        <f t="shared" si="0"/>
        <v>5187.3</v>
      </c>
      <c r="W5" s="234">
        <f t="shared" si="0"/>
        <v>2094.5</v>
      </c>
      <c r="X5" s="234">
        <f t="shared" si="0"/>
        <v>1168.2</v>
      </c>
      <c r="Y5" s="235">
        <f t="shared" si="0"/>
        <v>8450.0000000000018</v>
      </c>
      <c r="Z5" s="334">
        <f t="shared" si="0"/>
        <v>93.268799999999999</v>
      </c>
      <c r="AA5" s="234">
        <f t="shared" si="0"/>
        <v>313</v>
      </c>
      <c r="AB5" s="234">
        <f t="shared" si="0"/>
        <v>237.78</v>
      </c>
      <c r="AC5" s="234">
        <f t="shared" si="0"/>
        <v>69827.108923733336</v>
      </c>
      <c r="AD5" s="234">
        <f t="shared" si="0"/>
        <v>193.33333333333334</v>
      </c>
      <c r="AE5" s="364">
        <f t="shared" si="0"/>
        <v>2741.21</v>
      </c>
      <c r="AF5" s="365">
        <f t="shared" si="0"/>
        <v>1483.6890000000001</v>
      </c>
      <c r="AG5" s="334">
        <f t="shared" si="0"/>
        <v>4418.2323333333334</v>
      </c>
      <c r="AH5" s="234">
        <f t="shared" si="0"/>
        <v>989.47829760000002</v>
      </c>
      <c r="AI5" s="234">
        <f t="shared" si="0"/>
        <v>315.23559999999998</v>
      </c>
      <c r="AJ5" s="234">
        <f t="shared" si="0"/>
        <v>639.29999999999995</v>
      </c>
      <c r="AK5" s="383">
        <f>AK6+AK9+AK12+AK15+AK18+AK21+AK22</f>
        <v>1944.0138975999998</v>
      </c>
      <c r="AL5" s="235">
        <f>AL6+AL9+AL12+AL15+AL18+AL21+AL22</f>
        <v>4570.5</v>
      </c>
      <c r="AM5" s="334">
        <f>AM6+AM9+AM12+AM15+AM18+AM21+AM22</f>
        <v>7592.7349999999997</v>
      </c>
      <c r="AN5" s="235">
        <f>AN6+AN9+AN12+AN15+AN18+AN21+AN22</f>
        <v>88352.590154666657</v>
      </c>
    </row>
    <row r="6" spans="1:40" s="226" customFormat="1" ht="9.75" customHeight="1">
      <c r="A6" s="965" t="s">
        <v>61</v>
      </c>
      <c r="B6" s="238"/>
      <c r="C6" s="239"/>
      <c r="D6" s="239"/>
      <c r="E6" s="239"/>
      <c r="F6" s="239"/>
      <c r="G6" s="242"/>
      <c r="H6" s="911">
        <f>C6+D6+E6+F6+G6</f>
        <v>0</v>
      </c>
      <c r="I6" s="241"/>
      <c r="J6" s="239"/>
      <c r="K6" s="2239">
        <f>'[1]затраты вспом.'!K6+'[2]затраты вспом.'!K6</f>
        <v>1.071</v>
      </c>
      <c r="L6" s="237"/>
      <c r="M6" s="238"/>
      <c r="N6" s="245">
        <f t="shared" ref="N6:P6" si="1">N7*N8/1000</f>
        <v>34925.5844</v>
      </c>
      <c r="O6" s="245">
        <f t="shared" si="1"/>
        <v>6797.25</v>
      </c>
      <c r="P6" s="245">
        <f t="shared" si="1"/>
        <v>5800.32</v>
      </c>
      <c r="Q6" s="241">
        <f>SUM(N6:P6)</f>
        <v>47523.154399999999</v>
      </c>
      <c r="R6" s="242"/>
      <c r="S6" s="372"/>
      <c r="T6" s="242"/>
      <c r="U6" s="241">
        <f>SUM(R6:T6)</f>
        <v>0</v>
      </c>
      <c r="V6" s="239"/>
      <c r="W6" s="236"/>
      <c r="X6" s="237"/>
      <c r="Y6" s="241">
        <f>SUM(V6:X6)</f>
        <v>0</v>
      </c>
      <c r="Z6" s="239"/>
      <c r="AA6" s="236"/>
      <c r="AB6" s="237"/>
      <c r="AC6" s="240">
        <f>B6+H6+I6+M6+Q6+U6+Y6+Z6+AA6+AB6</f>
        <v>47523.154399999999</v>
      </c>
      <c r="AD6" s="242"/>
      <c r="AE6" s="1260"/>
      <c r="AF6" s="1261"/>
      <c r="AG6" s="238">
        <f>SUM(AD6:AF6)</f>
        <v>0</v>
      </c>
      <c r="AH6" s="242"/>
      <c r="AI6" s="241"/>
      <c r="AJ6" s="242"/>
      <c r="AK6" s="238">
        <f>SUM(AH6:AJ6)</f>
        <v>0</v>
      </c>
      <c r="AL6" s="344"/>
      <c r="AM6" s="2239">
        <f>'[1]затраты вспом.'!AM6+'[2]затраты вспом.'!AM6</f>
        <v>2304</v>
      </c>
      <c r="AN6" s="241">
        <f>AC6+AG6+AK6+AL6+AM6</f>
        <v>49827.154399999999</v>
      </c>
    </row>
    <row r="7" spans="1:40" s="226" customFormat="1" ht="9.75" customHeight="1">
      <c r="A7" s="966" t="s">
        <v>62</v>
      </c>
      <c r="B7" s="240"/>
      <c r="C7" s="245"/>
      <c r="D7" s="245"/>
      <c r="E7" s="245"/>
      <c r="F7" s="245"/>
      <c r="G7" s="246"/>
      <c r="H7" s="394">
        <f t="shared" ref="H7:H40" si="2">C7+D7+E7+F7+G7</f>
        <v>0</v>
      </c>
      <c r="I7" s="240"/>
      <c r="J7" s="245"/>
      <c r="K7" s="2239">
        <f>'[1]затраты вспом.'!K7+'[2]затраты вспом.'!K7</f>
        <v>0.17</v>
      </c>
      <c r="L7" s="244"/>
      <c r="M7" s="240"/>
      <c r="N7" s="2239">
        <f>'[1]затраты вспом.'!N7+'[2]затраты вспом.'!N7</f>
        <v>5494.9</v>
      </c>
      <c r="O7" s="2239">
        <f>'[1]затраты вспом.'!O7+'[2]затраты вспом.'!O7</f>
        <v>1125</v>
      </c>
      <c r="P7" s="2239">
        <f>'[1]затраты вспом.'!P7+'[2]затраты вспом.'!P7</f>
        <v>960</v>
      </c>
      <c r="Q7" s="241">
        <f>SUM(N7:P7)</f>
        <v>7579.9</v>
      </c>
      <c r="R7" s="246"/>
      <c r="S7" s="243"/>
      <c r="T7" s="246"/>
      <c r="U7" s="241">
        <f>SUM(R7:T7)</f>
        <v>0</v>
      </c>
      <c r="V7" s="245"/>
      <c r="W7" s="243"/>
      <c r="X7" s="244"/>
      <c r="Y7" s="241">
        <f>SUM(V7:X7)</f>
        <v>0</v>
      </c>
      <c r="Z7" s="245"/>
      <c r="AA7" s="243"/>
      <c r="AB7" s="244"/>
      <c r="AC7" s="240">
        <f>B7+H7+I7+M7+Q7+U7+Y7+Z7+AA7+AB7</f>
        <v>7579.9</v>
      </c>
      <c r="AD7" s="246"/>
      <c r="AE7" s="361"/>
      <c r="AF7" s="1262"/>
      <c r="AG7" s="241">
        <f>SUM(AD7:AF7)</f>
        <v>0</v>
      </c>
      <c r="AH7" s="246"/>
      <c r="AI7" s="240"/>
      <c r="AJ7" s="246"/>
      <c r="AK7" s="240">
        <f>SUM(AH7:AJ7)</f>
        <v>0</v>
      </c>
      <c r="AL7" s="343"/>
      <c r="AM7" s="2239">
        <f>'[1]затраты вспом.'!AM7+'[2]затраты вспом.'!AM7</f>
        <v>360</v>
      </c>
      <c r="AN7" s="241">
        <f>AC7+AG7+AK7+AL7+AM7</f>
        <v>7939.9</v>
      </c>
    </row>
    <row r="8" spans="1:40" s="227" customFormat="1" ht="9.75" customHeight="1">
      <c r="A8" s="967" t="s">
        <v>63</v>
      </c>
      <c r="B8" s="249"/>
      <c r="C8" s="250"/>
      <c r="D8" s="250"/>
      <c r="E8" s="250"/>
      <c r="F8" s="250"/>
      <c r="G8" s="251"/>
      <c r="H8" s="394">
        <f t="shared" si="2"/>
        <v>0</v>
      </c>
      <c r="I8" s="249"/>
      <c r="J8" s="250"/>
      <c r="K8" s="465">
        <v>6300</v>
      </c>
      <c r="L8" s="248"/>
      <c r="M8" s="249"/>
      <c r="N8" s="245">
        <f>'[1]затраты вспом.'!N8</f>
        <v>6356</v>
      </c>
      <c r="O8" s="245">
        <v>6042</v>
      </c>
      <c r="P8" s="245">
        <f>'[1]затраты вспом.'!P8</f>
        <v>6042</v>
      </c>
      <c r="Q8" s="249">
        <f>Q6/Q7*1000</f>
        <v>6269.6281481286032</v>
      </c>
      <c r="R8" s="251"/>
      <c r="S8" s="247"/>
      <c r="T8" s="251"/>
      <c r="U8" s="249" t="e">
        <f>U6/U7*1000</f>
        <v>#DIV/0!</v>
      </c>
      <c r="V8" s="250"/>
      <c r="W8" s="247"/>
      <c r="X8" s="248"/>
      <c r="Y8" s="249" t="e">
        <f>Y6/Y7*1000</f>
        <v>#DIV/0!</v>
      </c>
      <c r="Z8" s="250"/>
      <c r="AA8" s="247"/>
      <c r="AB8" s="248"/>
      <c r="AC8" s="249">
        <f>AC6/AC7*1000</f>
        <v>6269.6281481286032</v>
      </c>
      <c r="AD8" s="251"/>
      <c r="AE8" s="362"/>
      <c r="AF8" s="1263"/>
      <c r="AG8" s="249" t="e">
        <f>AG6/AG7*1000</f>
        <v>#DIV/0!</v>
      </c>
      <c r="AH8" s="251"/>
      <c r="AI8" s="249"/>
      <c r="AJ8" s="251"/>
      <c r="AK8" s="249"/>
      <c r="AL8" s="382"/>
      <c r="AM8" s="245">
        <f>'[1]затраты вспом.'!AM8</f>
        <v>6400</v>
      </c>
      <c r="AN8" s="249">
        <f>AN6/AN7*1000</f>
        <v>6275.5392889079212</v>
      </c>
    </row>
    <row r="9" spans="1:40" s="226" customFormat="1" ht="9.75" customHeight="1">
      <c r="A9" s="966" t="s">
        <v>64</v>
      </c>
      <c r="B9" s="240"/>
      <c r="C9" s="245"/>
      <c r="D9" s="245"/>
      <c r="E9" s="245"/>
      <c r="F9" s="245"/>
      <c r="G9" s="246"/>
      <c r="H9" s="394">
        <f t="shared" si="2"/>
        <v>0</v>
      </c>
      <c r="I9" s="240"/>
      <c r="J9" s="245"/>
      <c r="K9" s="245">
        <f>K10*K11/1000</f>
        <v>48.78</v>
      </c>
      <c r="L9" s="244"/>
      <c r="M9" s="240">
        <f>SUM(J9:L9)</f>
        <v>48.78</v>
      </c>
      <c r="N9" s="245"/>
      <c r="O9" s="243"/>
      <c r="P9" s="244"/>
      <c r="Q9" s="241">
        <f>SUM(N9:P9)</f>
        <v>0</v>
      </c>
      <c r="R9" s="246"/>
      <c r="S9" s="243"/>
      <c r="T9" s="246"/>
      <c r="U9" s="241">
        <f>SUM(R9:T9)</f>
        <v>0</v>
      </c>
      <c r="V9" s="245">
        <f t="shared" ref="V9:X9" si="3">V10*V11/1000</f>
        <v>5186.1000000000004</v>
      </c>
      <c r="W9" s="245">
        <f t="shared" si="3"/>
        <v>2094.5</v>
      </c>
      <c r="X9" s="245">
        <f t="shared" si="3"/>
        <v>1168.2</v>
      </c>
      <c r="Y9" s="240">
        <f>SUM(V9:X9)</f>
        <v>8448.8000000000011</v>
      </c>
      <c r="Z9" s="245"/>
      <c r="AA9" s="243"/>
      <c r="AB9" s="245">
        <f t="shared" ref="AB9" si="4">AB10*AB11/1000</f>
        <v>178.18</v>
      </c>
      <c r="AC9" s="240">
        <f>B9+H9+I9+M9+Q9+U9+Y9+Z9+AA9+AB9</f>
        <v>8675.760000000002</v>
      </c>
      <c r="AD9" s="246"/>
      <c r="AE9" s="361">
        <f>AE10*AE11/1000</f>
        <v>0</v>
      </c>
      <c r="AF9" s="1262"/>
      <c r="AG9" s="241">
        <f>SUM(AD9:AF9)</f>
        <v>0</v>
      </c>
      <c r="AH9" s="246"/>
      <c r="AI9" s="240"/>
      <c r="AJ9" s="246"/>
      <c r="AK9" s="240">
        <f>SUM(AH9:AJ9)</f>
        <v>0</v>
      </c>
      <c r="AL9" s="343"/>
      <c r="AM9" s="246"/>
      <c r="AN9" s="241">
        <f>AC9+AG9+AK9+AL9+AM9</f>
        <v>8675.760000000002</v>
      </c>
    </row>
    <row r="10" spans="1:40" s="226" customFormat="1" ht="9.75" customHeight="1">
      <c r="A10" s="966" t="s">
        <v>65</v>
      </c>
      <c r="B10" s="240"/>
      <c r="C10" s="245"/>
      <c r="D10" s="245"/>
      <c r="E10" s="245"/>
      <c r="F10" s="245"/>
      <c r="G10" s="246"/>
      <c r="H10" s="394">
        <f t="shared" si="2"/>
        <v>0</v>
      </c>
      <c r="I10" s="240"/>
      <c r="J10" s="245"/>
      <c r="K10" s="2239">
        <f>'[1]затраты вспом.'!K10+'[2]затраты вспом.'!K10</f>
        <v>9</v>
      </c>
      <c r="L10" s="244"/>
      <c r="M10" s="240">
        <f>SUM(J10:L10)</f>
        <v>9</v>
      </c>
      <c r="N10" s="246"/>
      <c r="O10" s="243"/>
      <c r="P10" s="244"/>
      <c r="Q10" s="241">
        <f>SUM(N10:P10)</f>
        <v>0</v>
      </c>
      <c r="R10" s="246"/>
      <c r="S10" s="243"/>
      <c r="T10" s="246"/>
      <c r="U10" s="241">
        <f>SUM(R10:T10)</f>
        <v>0</v>
      </c>
      <c r="V10" s="2239">
        <f>'[1]затраты вспом.'!V10+'[2]затраты вспом.'!V10</f>
        <v>879</v>
      </c>
      <c r="W10" s="2239">
        <f>'[1]затраты вспом.'!W10+'[2]затраты вспом.'!W10</f>
        <v>355</v>
      </c>
      <c r="X10" s="2239">
        <f>'[1]затраты вспом.'!X10+'[2]затраты вспом.'!X10</f>
        <v>198</v>
      </c>
      <c r="Y10" s="240">
        <f>SUM(V10:X10)</f>
        <v>1432</v>
      </c>
      <c r="Z10" s="245"/>
      <c r="AA10" s="243"/>
      <c r="AB10" s="2239">
        <f>'[1]затраты вспом.'!AB10+'[2]затраты вспом.'!AB10</f>
        <v>30.2</v>
      </c>
      <c r="AC10" s="240">
        <f>B10+H10+I10+M10+Q10+U10+Y10+Z10+AA10+AB10</f>
        <v>1471.2</v>
      </c>
      <c r="AD10" s="246"/>
      <c r="AE10" s="361">
        <f>'[1]затраты вспом.'!AE10</f>
        <v>0</v>
      </c>
      <c r="AF10" s="1262"/>
      <c r="AG10" s="241">
        <f>SUM(AD10:AF10)</f>
        <v>0</v>
      </c>
      <c r="AH10" s="246"/>
      <c r="AI10" s="240"/>
      <c r="AJ10" s="246"/>
      <c r="AK10" s="240">
        <f>SUM(AH10:AJ10)</f>
        <v>0</v>
      </c>
      <c r="AL10" s="343"/>
      <c r="AM10" s="246"/>
      <c r="AN10" s="241">
        <f>AC10+AG10+AK10+AL10+AM10</f>
        <v>1471.2</v>
      </c>
    </row>
    <row r="11" spans="1:40" s="227" customFormat="1" ht="9.75" customHeight="1">
      <c r="A11" s="967" t="s">
        <v>63</v>
      </c>
      <c r="B11" s="249"/>
      <c r="C11" s="250"/>
      <c r="D11" s="250"/>
      <c r="E11" s="250"/>
      <c r="F11" s="250"/>
      <c r="G11" s="251"/>
      <c r="H11" s="394">
        <f t="shared" si="2"/>
        <v>0</v>
      </c>
      <c r="I11" s="249"/>
      <c r="J11" s="250"/>
      <c r="K11" s="465">
        <v>5420</v>
      </c>
      <c r="L11" s="248"/>
      <c r="M11" s="249">
        <f>M9/M10*1000</f>
        <v>5420</v>
      </c>
      <c r="N11" s="251"/>
      <c r="O11" s="247"/>
      <c r="P11" s="248"/>
      <c r="Q11" s="249" t="e">
        <f>Q9/Q10*1000</f>
        <v>#DIV/0!</v>
      </c>
      <c r="R11" s="251"/>
      <c r="S11" s="247"/>
      <c r="T11" s="251"/>
      <c r="U11" s="249" t="e">
        <f>U9/U10*1000</f>
        <v>#DIV/0!</v>
      </c>
      <c r="V11" s="250">
        <f>'[1]затраты вспом.'!V11</f>
        <v>5900</v>
      </c>
      <c r="W11" s="250">
        <f>'[1]затраты вспом.'!W11</f>
        <v>5900</v>
      </c>
      <c r="X11" s="250">
        <f>'[1]затраты вспом.'!X11</f>
        <v>5900</v>
      </c>
      <c r="Y11" s="249">
        <f>Y9/Y10*1000</f>
        <v>5900</v>
      </c>
      <c r="Z11" s="250"/>
      <c r="AA11" s="247"/>
      <c r="AB11" s="250">
        <f>'[1]затраты вспом.'!AB11</f>
        <v>5900</v>
      </c>
      <c r="AC11" s="249">
        <f>AC9/AC10*1000</f>
        <v>5897.0636215334434</v>
      </c>
      <c r="AD11" s="251"/>
      <c r="AE11" s="361">
        <f>'[1]затраты вспом.'!AE11</f>
        <v>6750</v>
      </c>
      <c r="AF11" s="1263"/>
      <c r="AG11" s="249" t="e">
        <f>AG9/AG10*1000</f>
        <v>#DIV/0!</v>
      </c>
      <c r="AH11" s="251"/>
      <c r="AI11" s="326"/>
      <c r="AJ11" s="371"/>
      <c r="AK11" s="249"/>
      <c r="AL11" s="382"/>
      <c r="AM11" s="251"/>
      <c r="AN11" s="249">
        <f>AN9/AN10*1000</f>
        <v>5897.0636215334434</v>
      </c>
    </row>
    <row r="12" spans="1:40" s="226" customFormat="1" ht="9.75" customHeight="1">
      <c r="A12" s="966" t="s">
        <v>66</v>
      </c>
      <c r="B12" s="240"/>
      <c r="C12" s="245"/>
      <c r="D12" s="245"/>
      <c r="E12" s="245"/>
      <c r="F12" s="245"/>
      <c r="G12" s="246"/>
      <c r="H12" s="394">
        <f t="shared" si="2"/>
        <v>0</v>
      </c>
      <c r="I12" s="240"/>
      <c r="J12" s="2239">
        <f>'[1]затраты вспом.'!J12+'[2]затраты вспом.'!J12</f>
        <v>1243.2</v>
      </c>
      <c r="K12" s="245">
        <f t="shared" ref="K12:L12" si="5">K13*K14/1000</f>
        <v>361.77120000000008</v>
      </c>
      <c r="L12" s="245">
        <f t="shared" si="5"/>
        <v>89.510400000000018</v>
      </c>
      <c r="M12" s="240">
        <f>SUM(J12:L12)</f>
        <v>1694.4816000000003</v>
      </c>
      <c r="N12" s="246"/>
      <c r="O12" s="243"/>
      <c r="P12" s="244"/>
      <c r="Q12" s="241">
        <f>SUM(N12:P12)</f>
        <v>0</v>
      </c>
      <c r="R12" s="245">
        <f>R13*R14/1000</f>
        <v>3.9782400000000009</v>
      </c>
      <c r="S12" s="243"/>
      <c r="T12" s="246"/>
      <c r="U12" s="241">
        <f>SUM(R12:T12)</f>
        <v>3.9782400000000009</v>
      </c>
      <c r="V12" s="260"/>
      <c r="W12" s="257"/>
      <c r="X12" s="258"/>
      <c r="Y12" s="241">
        <f>SUM(V12:X12)</f>
        <v>0</v>
      </c>
      <c r="Z12" s="245">
        <f t="shared" ref="Z12:AA12" si="6">Z13*Z14/1000</f>
        <v>11.188800000000002</v>
      </c>
      <c r="AA12" s="245">
        <f t="shared" si="6"/>
        <v>0</v>
      </c>
      <c r="AB12" s="244"/>
      <c r="AC12" s="240">
        <f>B12+H12+I12+M12+Q12+U12+Y12+Z12+AA12+AB12</f>
        <v>1709.6486400000001</v>
      </c>
      <c r="AD12" s="246"/>
      <c r="AE12" s="361"/>
      <c r="AF12" s="1262"/>
      <c r="AG12" s="241">
        <f>SUM(AD12:AF12)</f>
        <v>0</v>
      </c>
      <c r="AH12" s="245">
        <f t="shared" ref="AH12:AI12" si="7">AH13*AH14/1000</f>
        <v>89.51039999999999</v>
      </c>
      <c r="AI12" s="245">
        <f t="shared" si="7"/>
        <v>133.19999999999999</v>
      </c>
      <c r="AJ12" s="246"/>
      <c r="AK12" s="240">
        <f>SUM(AH12:AJ12)</f>
        <v>222.71039999999999</v>
      </c>
      <c r="AL12" s="240"/>
      <c r="AM12" s="246"/>
      <c r="AN12" s="241">
        <f>AC12+AG12+AK12+AL12+AM12</f>
        <v>1932.35904</v>
      </c>
    </row>
    <row r="13" spans="1:40" s="226" customFormat="1" ht="9.75" customHeight="1">
      <c r="A13" s="966" t="s">
        <v>12</v>
      </c>
      <c r="B13" s="240"/>
      <c r="C13" s="245"/>
      <c r="D13" s="245"/>
      <c r="E13" s="245"/>
      <c r="F13" s="245"/>
      <c r="G13" s="246"/>
      <c r="H13" s="394">
        <f t="shared" si="2"/>
        <v>0</v>
      </c>
      <c r="I13" s="240"/>
      <c r="J13" s="2239">
        <f>'[1]затраты вспом.'!J13+'[2]затраты вспом.'!J13</f>
        <v>56</v>
      </c>
      <c r="K13" s="2239">
        <f>'[1]затраты вспом.'!K13+'[2]затраты вспом.'!K13</f>
        <v>16.296000000000003</v>
      </c>
      <c r="L13" s="2239">
        <f>'[1]затраты вспом.'!L13+'[2]затраты вспом.'!L13</f>
        <v>4.0320000000000009</v>
      </c>
      <c r="M13" s="240">
        <f>SUM(J13:L13)</f>
        <v>76.328000000000003</v>
      </c>
      <c r="N13" s="246"/>
      <c r="O13" s="243"/>
      <c r="P13" s="244"/>
      <c r="Q13" s="241">
        <f>SUM(N13:P13)</f>
        <v>0</v>
      </c>
      <c r="R13" s="2239">
        <f>'[1]затраты вспом.'!R13+'[2]затраты вспом.'!R13</f>
        <v>0.17920000000000003</v>
      </c>
      <c r="S13" s="243"/>
      <c r="T13" s="246"/>
      <c r="U13" s="241">
        <f>SUM(R13:T13)</f>
        <v>0.17920000000000003</v>
      </c>
      <c r="V13" s="723"/>
      <c r="W13" s="724"/>
      <c r="X13" s="725"/>
      <c r="Y13" s="241">
        <f>SUM(V13:X13)</f>
        <v>0</v>
      </c>
      <c r="Z13" s="2239">
        <f>'[1]затраты вспом.'!Z13+'[2]затраты вспом.'!Z13</f>
        <v>0.50400000000000011</v>
      </c>
      <c r="AA13" s="2239">
        <f>'[1]затраты вспом.'!AA13+'[2]затраты вспом.'!AA13</f>
        <v>0</v>
      </c>
      <c r="AB13" s="244"/>
      <c r="AC13" s="240">
        <f>B13+H13+I13+M13+Q13+U13+Y13+Z13+AA13+AB13</f>
        <v>77.011200000000002</v>
      </c>
      <c r="AD13" s="246"/>
      <c r="AE13" s="361"/>
      <c r="AF13" s="1262"/>
      <c r="AG13" s="241">
        <f>SUM(AD13:AF13)</f>
        <v>0</v>
      </c>
      <c r="AH13" s="2239">
        <f>'[1]затраты вспом.'!AH13+'[2]затраты вспом.'!AH13</f>
        <v>4.032</v>
      </c>
      <c r="AI13" s="2239">
        <f>'[1]затраты вспом.'!AI13+'[2]затраты вспом.'!AI13</f>
        <v>6</v>
      </c>
      <c r="AJ13" s="246"/>
      <c r="AK13" s="240">
        <f>SUM(AH13:AJ13)</f>
        <v>10.032</v>
      </c>
      <c r="AL13" s="240"/>
      <c r="AM13" s="246"/>
      <c r="AN13" s="241">
        <f>AC13+AG13+AK13+AL13+AM13</f>
        <v>87.043199999999999</v>
      </c>
    </row>
    <row r="14" spans="1:40" s="227" customFormat="1" ht="9.75" customHeight="1">
      <c r="A14" s="967" t="s">
        <v>63</v>
      </c>
      <c r="B14" s="249"/>
      <c r="C14" s="250"/>
      <c r="D14" s="250"/>
      <c r="E14" s="245"/>
      <c r="F14" s="250"/>
      <c r="G14" s="251"/>
      <c r="H14" s="394">
        <f t="shared" si="2"/>
        <v>0</v>
      </c>
      <c r="I14" s="249"/>
      <c r="J14" s="249">
        <f>J12/J13*1000</f>
        <v>22200</v>
      </c>
      <c r="K14" s="250">
        <f>$J$14</f>
        <v>22200</v>
      </c>
      <c r="L14" s="250">
        <f>$J$14</f>
        <v>22200</v>
      </c>
      <c r="M14" s="249">
        <f>M12/M13*1000</f>
        <v>22200.000000000004</v>
      </c>
      <c r="N14" s="251"/>
      <c r="O14" s="247"/>
      <c r="P14" s="248"/>
      <c r="Q14" s="249" t="e">
        <f>Q12/Q13*1000</f>
        <v>#DIV/0!</v>
      </c>
      <c r="R14" s="250">
        <f>$J$14</f>
        <v>22200</v>
      </c>
      <c r="S14" s="247"/>
      <c r="T14" s="251"/>
      <c r="U14" s="249">
        <f>U12/U13*1000</f>
        <v>22200.000000000004</v>
      </c>
      <c r="V14" s="465"/>
      <c r="W14" s="468"/>
      <c r="X14" s="467"/>
      <c r="Y14" s="249" t="e">
        <f>Y12/Y13*1000</f>
        <v>#DIV/0!</v>
      </c>
      <c r="Z14" s="250">
        <f>$J$14</f>
        <v>22200</v>
      </c>
      <c r="AA14" s="250">
        <f>$J$14</f>
        <v>22200</v>
      </c>
      <c r="AB14" s="248"/>
      <c r="AC14" s="249">
        <f>AC12/AC13*1000</f>
        <v>22200</v>
      </c>
      <c r="AD14" s="251"/>
      <c r="AE14" s="362"/>
      <c r="AF14" s="1263"/>
      <c r="AG14" s="249" t="e">
        <f>AG12/AG13*1000</f>
        <v>#DIV/0!</v>
      </c>
      <c r="AH14" s="250">
        <f>$J$14</f>
        <v>22200</v>
      </c>
      <c r="AI14" s="250">
        <f>$J$14</f>
        <v>22200</v>
      </c>
      <c r="AJ14" s="251"/>
      <c r="AK14" s="249">
        <f>AK12/AK13*1000</f>
        <v>22200</v>
      </c>
      <c r="AL14" s="249"/>
      <c r="AM14" s="251"/>
      <c r="AN14" s="249">
        <f>AN12/AN13*1000</f>
        <v>22200</v>
      </c>
    </row>
    <row r="15" spans="1:40" s="226" customFormat="1" ht="9.75" customHeight="1">
      <c r="A15" s="966" t="s">
        <v>67</v>
      </c>
      <c r="B15" s="240"/>
      <c r="C15" s="245"/>
      <c r="D15" s="245"/>
      <c r="E15" s="245"/>
      <c r="F15" s="245"/>
      <c r="G15" s="246"/>
      <c r="H15" s="394">
        <f t="shared" si="2"/>
        <v>0</v>
      </c>
      <c r="I15" s="2239">
        <f>'[1]затраты вспом.'!I15+'[2]затраты вспом.'!I15</f>
        <v>6807.8999999999987</v>
      </c>
      <c r="J15" s="2239">
        <f>'[1]затраты вспом.'!J15+'[2]затраты вспом.'!J15</f>
        <v>2230.25</v>
      </c>
      <c r="K15" s="245">
        <f t="shared" ref="K15:L15" si="8">K16*K17/1000</f>
        <v>135.30000000000001</v>
      </c>
      <c r="L15" s="245">
        <f t="shared" si="8"/>
        <v>66</v>
      </c>
      <c r="M15" s="240">
        <f>SUM(J15:L15)</f>
        <v>2431.5500000000002</v>
      </c>
      <c r="N15" s="246"/>
      <c r="O15" s="243"/>
      <c r="P15" s="244"/>
      <c r="Q15" s="241">
        <f>SUM(N15:P15)</f>
        <v>0</v>
      </c>
      <c r="R15" s="246"/>
      <c r="S15" s="243"/>
      <c r="T15" s="246"/>
      <c r="U15" s="241">
        <f>SUM(R15:T15)</f>
        <v>0</v>
      </c>
      <c r="V15" s="245"/>
      <c r="W15" s="243"/>
      <c r="X15" s="244"/>
      <c r="Y15" s="241">
        <f>SUM(V15:X15)</f>
        <v>0</v>
      </c>
      <c r="Z15" s="245"/>
      <c r="AA15" s="243"/>
      <c r="AB15" s="244"/>
      <c r="AC15" s="240">
        <f>B15+H15+I15+M15+Q15+U15+Y15+Z15+AA15+AB15</f>
        <v>9239.4499999999989</v>
      </c>
      <c r="AD15" s="246"/>
      <c r="AE15" s="361"/>
      <c r="AF15" s="343">
        <f>AF16*AF17/1000</f>
        <v>0</v>
      </c>
      <c r="AG15" s="241">
        <f>SUM(AD15:AF15)</f>
        <v>0</v>
      </c>
      <c r="AH15" s="18"/>
      <c r="AI15" s="45"/>
      <c r="AJ15" s="375"/>
      <c r="AK15" s="240">
        <f>SUM(AH15:AJ15)</f>
        <v>0</v>
      </c>
      <c r="AL15" s="240"/>
      <c r="AM15" s="246"/>
      <c r="AN15" s="241">
        <f>AC15+AG15+AK15+AL15+AM15</f>
        <v>9239.4499999999989</v>
      </c>
    </row>
    <row r="16" spans="1:40" s="226" customFormat="1" ht="9.75" customHeight="1">
      <c r="A16" s="966" t="s">
        <v>69</v>
      </c>
      <c r="B16" s="240"/>
      <c r="C16" s="245"/>
      <c r="D16" s="245"/>
      <c r="E16" s="245"/>
      <c r="F16" s="245"/>
      <c r="G16" s="246"/>
      <c r="H16" s="394">
        <f t="shared" si="2"/>
        <v>0</v>
      </c>
      <c r="I16" s="2239">
        <f>'[1]затраты вспом.'!I16+'[2]затраты вспом.'!I16</f>
        <v>206.29999999999998</v>
      </c>
      <c r="J16" s="2239">
        <f>'[1]затраты вспом.'!J16+'[2]затраты вспом.'!J16</f>
        <v>67.583333333333343</v>
      </c>
      <c r="K16" s="2239">
        <f>'[1]затраты вспом.'!K16+'[2]затраты вспом.'!K16</f>
        <v>4.0999999999999996</v>
      </c>
      <c r="L16" s="2239">
        <f>'[1]затраты вспом.'!L16+'[2]затраты вспом.'!L16</f>
        <v>2</v>
      </c>
      <c r="M16" s="240">
        <f>SUM(J16:L16)</f>
        <v>73.683333333333337</v>
      </c>
      <c r="N16" s="246"/>
      <c r="O16" s="243"/>
      <c r="P16" s="244"/>
      <c r="Q16" s="241">
        <f>SUM(N16:P16)</f>
        <v>0</v>
      </c>
      <c r="R16" s="246"/>
      <c r="S16" s="243"/>
      <c r="T16" s="246"/>
      <c r="U16" s="241">
        <f>SUM(R16:T16)</f>
        <v>0</v>
      </c>
      <c r="V16" s="245"/>
      <c r="W16" s="243"/>
      <c r="X16" s="244"/>
      <c r="Y16" s="241">
        <f>SUM(V16:X16)</f>
        <v>0</v>
      </c>
      <c r="Z16" s="245"/>
      <c r="AA16" s="243"/>
      <c r="AB16" s="244"/>
      <c r="AC16" s="240">
        <f>B16+H16+I16+M16+Q16+U16+Y16+Z16+AA16+AB16</f>
        <v>279.98333333333335</v>
      </c>
      <c r="AD16" s="246"/>
      <c r="AE16" s="361"/>
      <c r="AF16" s="343"/>
      <c r="AG16" s="241">
        <f>SUM(AD16:AF16)</f>
        <v>0</v>
      </c>
      <c r="AH16" s="18"/>
      <c r="AI16" s="17"/>
      <c r="AJ16" s="19"/>
      <c r="AK16" s="240">
        <f>SUM(AH16:AJ16)</f>
        <v>0</v>
      </c>
      <c r="AL16" s="240"/>
      <c r="AM16" s="246"/>
      <c r="AN16" s="241">
        <f>AC16+AG16+AK16+AL16+AM16</f>
        <v>279.98333333333335</v>
      </c>
    </row>
    <row r="17" spans="1:40" s="226" customFormat="1" ht="9.75" customHeight="1">
      <c r="A17" s="966" t="s">
        <v>63</v>
      </c>
      <c r="B17" s="240"/>
      <c r="C17" s="245"/>
      <c r="D17" s="245"/>
      <c r="E17" s="250"/>
      <c r="F17" s="245"/>
      <c r="G17" s="246"/>
      <c r="H17" s="394">
        <f t="shared" si="2"/>
        <v>0</v>
      </c>
      <c r="I17" s="249">
        <v>33000</v>
      </c>
      <c r="J17" s="249">
        <f>J15/J16*1000</f>
        <v>32999.999999999993</v>
      </c>
      <c r="K17" s="249">
        <f>$I$17</f>
        <v>33000</v>
      </c>
      <c r="L17" s="249">
        <f>$I$17</f>
        <v>33000</v>
      </c>
      <c r="M17" s="249">
        <f>M15/M16*1000</f>
        <v>33000</v>
      </c>
      <c r="N17" s="246"/>
      <c r="O17" s="247"/>
      <c r="P17" s="248"/>
      <c r="Q17" s="249" t="e">
        <f>Q15/Q16*1000</f>
        <v>#DIV/0!</v>
      </c>
      <c r="R17" s="246"/>
      <c r="S17" s="243"/>
      <c r="T17" s="246"/>
      <c r="U17" s="249" t="e">
        <f>U15/U16*1000</f>
        <v>#DIV/0!</v>
      </c>
      <c r="V17" s="245"/>
      <c r="W17" s="243"/>
      <c r="X17" s="244"/>
      <c r="Y17" s="249" t="e">
        <f>Y15/Y16*1000</f>
        <v>#DIV/0!</v>
      </c>
      <c r="Z17" s="245"/>
      <c r="AA17" s="243"/>
      <c r="AB17" s="244"/>
      <c r="AC17" s="249">
        <f>AC15/AC16*1000</f>
        <v>32999.999999999993</v>
      </c>
      <c r="AD17" s="246"/>
      <c r="AE17" s="361"/>
      <c r="AF17" s="249">
        <v>33000</v>
      </c>
      <c r="AG17" s="249" t="e">
        <f>AG15/AG16*1000</f>
        <v>#DIV/0!</v>
      </c>
      <c r="AH17" s="278"/>
      <c r="AI17" s="346"/>
      <c r="AJ17" s="376"/>
      <c r="AK17" s="326"/>
      <c r="AL17" s="240"/>
      <c r="AM17" s="246"/>
      <c r="AN17" s="249">
        <f>AN15/AN16*1000</f>
        <v>32999.999999999993</v>
      </c>
    </row>
    <row r="18" spans="1:40" s="226" customFormat="1" ht="9.75" customHeight="1">
      <c r="A18" s="966" t="s">
        <v>68</v>
      </c>
      <c r="B18" s="240"/>
      <c r="C18" s="245"/>
      <c r="D18" s="245"/>
      <c r="E18" s="245"/>
      <c r="F18" s="245"/>
      <c r="G18" s="246"/>
      <c r="H18" s="394">
        <f t="shared" si="2"/>
        <v>0</v>
      </c>
      <c r="I18" s="2239">
        <f>'[1]затраты вспом.'!I18+'[2]затраты вспом.'!I18</f>
        <v>14.111999999999998</v>
      </c>
      <c r="J18" s="2239">
        <f>'[1]затраты вспом.'!J18+'[2]затраты вспом.'!J18</f>
        <v>604.79999999999995</v>
      </c>
      <c r="K18" s="245">
        <f t="shared" ref="K18" si="9">K19*K20/1000</f>
        <v>67.2</v>
      </c>
      <c r="L18" s="245">
        <f t="shared" ref="L18" si="10">L19*L20/1000</f>
        <v>110.88</v>
      </c>
      <c r="M18" s="240">
        <f>SUM(J18:L18)</f>
        <v>782.88</v>
      </c>
      <c r="N18" s="245">
        <f t="shared" ref="N18" si="11">N19*N20/1000</f>
        <v>10.08</v>
      </c>
      <c r="O18" s="243"/>
      <c r="P18" s="244"/>
      <c r="Q18" s="241">
        <f t="shared" ref="Q18:Q40" si="12">SUM(N18:P18)</f>
        <v>10.08</v>
      </c>
      <c r="R18" s="245">
        <f t="shared" ref="R18" si="13">R19*R20/1000</f>
        <v>2.3519999999999999</v>
      </c>
      <c r="S18" s="243"/>
      <c r="T18" s="246"/>
      <c r="U18" s="241">
        <f t="shared" ref="U18:U40" si="14">SUM(R18:T18)</f>
        <v>2.3519999999999999</v>
      </c>
      <c r="V18" s="245"/>
      <c r="W18" s="243"/>
      <c r="X18" s="244"/>
      <c r="Y18" s="241">
        <f t="shared" ref="Y18:Y40" si="15">SUM(V18:X18)</f>
        <v>0</v>
      </c>
      <c r="Z18" s="245">
        <f t="shared" ref="Z18:AA18" si="16">Z19*Z20/1000</f>
        <v>10.08</v>
      </c>
      <c r="AA18" s="245">
        <f t="shared" si="16"/>
        <v>0</v>
      </c>
      <c r="AB18" s="244"/>
      <c r="AC18" s="240">
        <f>B18+H18+I18+M18+Q18+U18+Y18+Z18+AA18+AB18</f>
        <v>819.50400000000002</v>
      </c>
      <c r="AD18" s="246"/>
      <c r="AE18" s="361"/>
      <c r="AF18" s="245">
        <f t="shared" ref="AF18" si="17">AF19*AF20/1000</f>
        <v>1.3440000000000001</v>
      </c>
      <c r="AG18" s="241">
        <f>SUM(AD18:AF18)</f>
        <v>1.3440000000000001</v>
      </c>
      <c r="AH18" s="245">
        <f t="shared" ref="AH18:AJ18" si="18">AH19*AH20/1000</f>
        <v>854.4</v>
      </c>
      <c r="AI18" s="245">
        <f t="shared" si="18"/>
        <v>120.95999999999998</v>
      </c>
      <c r="AJ18" s="245">
        <f t="shared" si="18"/>
        <v>0</v>
      </c>
      <c r="AK18" s="240">
        <f>SUM(AH18:AJ18)</f>
        <v>975.3599999999999</v>
      </c>
      <c r="AL18" s="240"/>
      <c r="AM18" s="246"/>
      <c r="AN18" s="241">
        <f>AC18+AG18+AK18+AL18+AM18</f>
        <v>1796.2080000000001</v>
      </c>
    </row>
    <row r="19" spans="1:40" s="226" customFormat="1" ht="9.75" customHeight="1">
      <c r="A19" s="966" t="s">
        <v>69</v>
      </c>
      <c r="B19" s="240"/>
      <c r="C19" s="245"/>
      <c r="D19" s="245"/>
      <c r="E19" s="245"/>
      <c r="F19" s="245"/>
      <c r="G19" s="246"/>
      <c r="H19" s="394">
        <f t="shared" si="2"/>
        <v>0</v>
      </c>
      <c r="I19" s="2239">
        <f>'[1]затраты вспом.'!I19+'[2]затраты вспом.'!I19</f>
        <v>0.41999999999999993</v>
      </c>
      <c r="J19" s="2239">
        <f>'[1]затраты вспом.'!J19+'[2]затраты вспом.'!J19</f>
        <v>18</v>
      </c>
      <c r="K19" s="2239">
        <f>'[1]затраты вспом.'!K19+'[2]затраты вспом.'!K19</f>
        <v>2</v>
      </c>
      <c r="L19" s="2239">
        <f>'[1]затраты вспом.'!L19+'[2]затраты вспом.'!L19</f>
        <v>3.3</v>
      </c>
      <c r="M19" s="240">
        <f>SUM(J19:L19)</f>
        <v>23.3</v>
      </c>
      <c r="N19" s="2239">
        <f>'[1]затраты вспом.'!N19+'[2]затраты вспом.'!N19</f>
        <v>0.3</v>
      </c>
      <c r="O19" s="243"/>
      <c r="P19" s="244"/>
      <c r="Q19" s="241">
        <f>SUM(N19:P19)</f>
        <v>0.3</v>
      </c>
      <c r="R19" s="2239">
        <f>'[1]затраты вспом.'!R19+'[2]затраты вспом.'!R19</f>
        <v>7.0000000000000007E-2</v>
      </c>
      <c r="S19" s="243"/>
      <c r="T19" s="246"/>
      <c r="U19" s="241">
        <f t="shared" si="14"/>
        <v>7.0000000000000007E-2</v>
      </c>
      <c r="V19" s="245"/>
      <c r="W19" s="243"/>
      <c r="X19" s="244"/>
      <c r="Y19" s="241">
        <f t="shared" si="15"/>
        <v>0</v>
      </c>
      <c r="Z19" s="2239">
        <f>'[1]затраты вспом.'!Z19+'[2]затраты вспом.'!Z19</f>
        <v>0.3</v>
      </c>
      <c r="AA19" s="2239">
        <f>'[1]затраты вспом.'!AA19+'[2]затраты вспом.'!AA19</f>
        <v>0</v>
      </c>
      <c r="AB19" s="244"/>
      <c r="AC19" s="240">
        <f>B19+H19+I19+M19+Q19+U19+Y19+Z19+AA19+AB19</f>
        <v>24.39</v>
      </c>
      <c r="AD19" s="246"/>
      <c r="AE19" s="361"/>
      <c r="AF19" s="2239">
        <f>'[1]затраты вспом.'!AF19+'[2]затраты вспом.'!AF19</f>
        <v>0.04</v>
      </c>
      <c r="AG19" s="241">
        <f>SUM(AD19:AF19)</f>
        <v>0.04</v>
      </c>
      <c r="AH19" s="2239">
        <f>'[1]затраты вспом.'!AH19+'[2]затраты вспом.'!AH19</f>
        <v>24</v>
      </c>
      <c r="AI19" s="2239">
        <f>'[1]затраты вспом.'!AI19+'[2]затраты вспом.'!AI19</f>
        <v>3.5999999999999996</v>
      </c>
      <c r="AJ19" s="2239">
        <f>'[1]затраты вспом.'!AJ19+'[2]затраты вспом.'!AJ19</f>
        <v>0</v>
      </c>
      <c r="AK19" s="240">
        <f>SUM(AH19:AJ19)</f>
        <v>27.6</v>
      </c>
      <c r="AL19" s="240"/>
      <c r="AM19" s="246"/>
      <c r="AN19" s="241">
        <f>AC19+AG19+AK19+AL19+AM19</f>
        <v>52.03</v>
      </c>
    </row>
    <row r="20" spans="1:40" s="470" customFormat="1" ht="9.75" customHeight="1">
      <c r="A20" s="968" t="s">
        <v>63</v>
      </c>
      <c r="B20" s="464"/>
      <c r="C20" s="465"/>
      <c r="D20" s="465"/>
      <c r="E20" s="465"/>
      <c r="F20" s="465"/>
      <c r="G20" s="466"/>
      <c r="H20" s="397">
        <f t="shared" si="2"/>
        <v>0</v>
      </c>
      <c r="I20" s="464">
        <v>33600</v>
      </c>
      <c r="J20" s="249">
        <f>J18/J19*1000</f>
        <v>33599.999999999993</v>
      </c>
      <c r="K20" s="465">
        <f t="shared" ref="K20:L20" si="19">$I$20</f>
        <v>33600</v>
      </c>
      <c r="L20" s="465">
        <f t="shared" si="19"/>
        <v>33600</v>
      </c>
      <c r="M20" s="464">
        <f>M18/M19*1000</f>
        <v>33600</v>
      </c>
      <c r="N20" s="464">
        <v>33600</v>
      </c>
      <c r="O20" s="468"/>
      <c r="P20" s="467"/>
      <c r="Q20" s="464">
        <f>Q18/Q19*1000</f>
        <v>33600</v>
      </c>
      <c r="R20" s="464">
        <v>33600</v>
      </c>
      <c r="S20" s="468"/>
      <c r="T20" s="466"/>
      <c r="U20" s="464">
        <f>U18/U19*1000</f>
        <v>33599.999999999993</v>
      </c>
      <c r="V20" s="465"/>
      <c r="W20" s="468"/>
      <c r="X20" s="467"/>
      <c r="Y20" s="464" t="e">
        <f>Y18/Y19*1000</f>
        <v>#DIV/0!</v>
      </c>
      <c r="Z20" s="464">
        <v>33600</v>
      </c>
      <c r="AA20" s="464">
        <v>33600</v>
      </c>
      <c r="AB20" s="467"/>
      <c r="AC20" s="464">
        <f>AC18/AC19*1000</f>
        <v>33600</v>
      </c>
      <c r="AD20" s="467"/>
      <c r="AE20" s="469"/>
      <c r="AF20" s="1264">
        <v>33600</v>
      </c>
      <c r="AG20" s="464">
        <f>AG18/AG19*1000</f>
        <v>33600</v>
      </c>
      <c r="AH20" s="465">
        <v>35600</v>
      </c>
      <c r="AI20" s="465">
        <f t="shared" ref="AI20:AJ20" si="20">$I$20</f>
        <v>33600</v>
      </c>
      <c r="AJ20" s="465">
        <f t="shared" si="20"/>
        <v>33600</v>
      </c>
      <c r="AK20" s="464">
        <f>AK18/AK19*1000</f>
        <v>35339.130434782601</v>
      </c>
      <c r="AL20" s="464"/>
      <c r="AM20" s="466"/>
      <c r="AN20" s="464">
        <f>AN18/AN19*1000</f>
        <v>34522.544685758221</v>
      </c>
    </row>
    <row r="21" spans="1:40" s="230" customFormat="1" ht="9.75" customHeight="1">
      <c r="A21" s="99" t="s">
        <v>70</v>
      </c>
      <c r="B21" s="259"/>
      <c r="C21" s="260"/>
      <c r="D21" s="260"/>
      <c r="E21" s="260"/>
      <c r="F21" s="260"/>
      <c r="G21" s="328"/>
      <c r="H21" s="397">
        <f t="shared" si="2"/>
        <v>0</v>
      </c>
      <c r="I21" s="2239">
        <f>'[1]затраты вспом.'!I21+'[2]затраты вспом.'!I21</f>
        <v>285.36700000000002</v>
      </c>
      <c r="J21" s="2239">
        <f>'[1]затраты вспом.'!J21+'[2]затраты вспом.'!J21</f>
        <v>172.66646666666668</v>
      </c>
      <c r="K21" s="2239">
        <f>'[1]затраты вспом.'!K21+'[2]затраты вспом.'!K21</f>
        <v>24.340186133333336</v>
      </c>
      <c r="L21" s="2239">
        <f>'[1]затраты вспом.'!L21+'[2]затраты вспом.'!L21</f>
        <v>11.218230933333334</v>
      </c>
      <c r="M21" s="259">
        <f>SUM(J21:L21)</f>
        <v>208.22488373333334</v>
      </c>
      <c r="N21" s="2239">
        <f>'[1]затраты вспом.'!N21+'[2]затраты вспом.'!N21</f>
        <v>2</v>
      </c>
      <c r="O21" s="257"/>
      <c r="P21" s="258"/>
      <c r="Q21" s="327">
        <f t="shared" si="12"/>
        <v>2</v>
      </c>
      <c r="R21" s="2239">
        <f>'[1]затраты вспом.'!R21+'[2]затраты вспом.'!R21</f>
        <v>0</v>
      </c>
      <c r="S21" s="257"/>
      <c r="T21" s="328"/>
      <c r="U21" s="327">
        <f t="shared" si="14"/>
        <v>0</v>
      </c>
      <c r="V21" s="2239">
        <f>'[1]затраты вспом.'!V21+'[2]затраты вспом.'!V21</f>
        <v>1.2000000000000002</v>
      </c>
      <c r="W21" s="2239">
        <f>'[1]затраты вспом.'!W21+'[2]затраты вспом.'!W21</f>
        <v>0</v>
      </c>
      <c r="X21" s="2239">
        <f>'[1]затраты вспом.'!X21+'[2]затраты вспом.'!X21</f>
        <v>0</v>
      </c>
      <c r="Y21" s="327">
        <f t="shared" si="15"/>
        <v>1.2000000000000002</v>
      </c>
      <c r="Z21" s="2239">
        <f>'[1]затраты вспом.'!Z21+'[2]затраты вспом.'!Z21</f>
        <v>0</v>
      </c>
      <c r="AA21" s="2239">
        <f>'[1]затраты вспом.'!AA21+'[2]затраты вспом.'!AA21</f>
        <v>0</v>
      </c>
      <c r="AB21" s="2239">
        <f>'[1]затраты вспом.'!AB21+'[2]затраты вспом.'!AB21</f>
        <v>0</v>
      </c>
      <c r="AC21" s="259">
        <f>B21+H21+I21+M21+Q21+U21+Y21+Z21+AA21+AB21</f>
        <v>496.79188373333335</v>
      </c>
      <c r="AD21" s="328"/>
      <c r="AE21" s="363"/>
      <c r="AF21" s="2239">
        <f>'[1]затраты вспом.'!AF21+'[2]затраты вспом.'!AF21</f>
        <v>10</v>
      </c>
      <c r="AG21" s="327">
        <f>SUM(AD21:AF21)</f>
        <v>10</v>
      </c>
      <c r="AH21" s="2239">
        <f>'[1]затраты вспом.'!AH21+'[2]затраты вспом.'!AH21</f>
        <v>39.567897600000002</v>
      </c>
      <c r="AI21" s="2239">
        <f>'[1]затраты вспом.'!AI21+'[2]затраты вспом.'!AI21</f>
        <v>11.0756</v>
      </c>
      <c r="AJ21" s="2239">
        <f>'[1]затраты вспом.'!AJ21+'[2]затраты вспом.'!AJ21</f>
        <v>0</v>
      </c>
      <c r="AK21" s="259">
        <f>SUM(AH21:AJ21)</f>
        <v>50.643497600000003</v>
      </c>
      <c r="AL21" s="259"/>
      <c r="AM21" s="328"/>
      <c r="AN21" s="327">
        <f>AC21+AG21+AK21+AL21+AM21</f>
        <v>557.43538133333334</v>
      </c>
    </row>
    <row r="22" spans="1:40" s="230" customFormat="1" ht="9.75" customHeight="1">
      <c r="A22" s="99" t="s">
        <v>71</v>
      </c>
      <c r="B22" s="2239">
        <f>'[1]затраты вспом.'!B22+'[2]затраты вспом.'!B22</f>
        <v>236</v>
      </c>
      <c r="C22" s="245"/>
      <c r="D22" s="245"/>
      <c r="E22" s="245"/>
      <c r="F22" s="245"/>
      <c r="G22" s="246"/>
      <c r="H22" s="397">
        <f t="shared" si="2"/>
        <v>0</v>
      </c>
      <c r="I22" s="2239">
        <f>'[1]затраты вспом.'!I22+'[2]затраты вспом.'!I22</f>
        <v>67.599999999999994</v>
      </c>
      <c r="J22" s="2239">
        <f>'[1]затраты вспом.'!J22+'[2]затраты вспом.'!J22</f>
        <v>125</v>
      </c>
      <c r="K22" s="2239">
        <f>'[1]затраты вспом.'!K22+'[2]затраты вспом.'!K22</f>
        <v>11</v>
      </c>
      <c r="L22" s="2239">
        <f>'[1]затраты вспом.'!L22+'[2]затраты вспом.'!L22</f>
        <v>5.6</v>
      </c>
      <c r="M22" s="259">
        <f>SUM(J22:L22)</f>
        <v>141.6</v>
      </c>
      <c r="N22" s="2239">
        <f>'[1]затраты вспом.'!N22+'[2]затраты вспом.'!N22</f>
        <v>241.99999999999997</v>
      </c>
      <c r="O22" s="2239">
        <f>'[1]затраты вспом.'!O22+'[2]затраты вспом.'!O22</f>
        <v>0</v>
      </c>
      <c r="P22" s="2239">
        <f>'[1]затраты вспом.'!P22+'[2]затраты вспом.'!P22</f>
        <v>0</v>
      </c>
      <c r="Q22" s="327">
        <f t="shared" si="12"/>
        <v>241.99999999999997</v>
      </c>
      <c r="R22" s="2239">
        <f>'[1]затраты вспом.'!R22+'[2]затраты вспом.'!R22</f>
        <v>216</v>
      </c>
      <c r="S22" s="2239">
        <f>'[1]затраты вспом.'!S22+'[2]затраты вспом.'!S22</f>
        <v>15</v>
      </c>
      <c r="T22" s="2239">
        <f>'[1]затраты вспом.'!T22+'[2]затраты вспом.'!T22</f>
        <v>0</v>
      </c>
      <c r="U22" s="327">
        <f t="shared" si="14"/>
        <v>231</v>
      </c>
      <c r="V22" s="2239">
        <f>'[1]затраты вспом.'!V22+'[2]затраты вспом.'!V22</f>
        <v>0</v>
      </c>
      <c r="W22" s="2239">
        <f>'[1]затраты вспом.'!W22+'[2]затраты вспом.'!W22</f>
        <v>0</v>
      </c>
      <c r="X22" s="2239">
        <f>'[1]затраты вспом.'!X22+'[2]затраты вспом.'!X22</f>
        <v>0</v>
      </c>
      <c r="Y22" s="327">
        <f t="shared" si="15"/>
        <v>0</v>
      </c>
      <c r="Z22" s="2239">
        <f>'[1]затраты вспом.'!Z22+'[2]затраты вспом.'!Z22</f>
        <v>72</v>
      </c>
      <c r="AA22" s="2239">
        <f>'[1]затраты вспом.'!AA22+'[2]затраты вспом.'!AA22</f>
        <v>313</v>
      </c>
      <c r="AB22" s="2239">
        <f>'[1]затраты вспом.'!AB22+'[2]затраты вспом.'!AB22</f>
        <v>59.6</v>
      </c>
      <c r="AC22" s="259">
        <f>B22+H22+I22+M22+Q22+U22+Y22+Z22+AA22+AB22</f>
        <v>1362.8</v>
      </c>
      <c r="AD22" s="2239">
        <f>'[1]затраты вспом.'!AD22+'[2]затраты вспом.'!AD22</f>
        <v>193.33333333333334</v>
      </c>
      <c r="AE22" s="2239">
        <f>'[1]затраты вспом.'!AE22+'[2]затраты вспом.'!AE22</f>
        <v>2741.21</v>
      </c>
      <c r="AF22" s="2239">
        <f>'[1]затраты вспом.'!AF22+'[2]затраты вспом.'!AF22</f>
        <v>1472.345</v>
      </c>
      <c r="AG22" s="327">
        <f>SUM(AD22:AF22)</f>
        <v>4406.8883333333333</v>
      </c>
      <c r="AH22" s="2239">
        <f>'[1]затраты вспом.'!AH22+'[2]затраты вспом.'!AH22</f>
        <v>6</v>
      </c>
      <c r="AI22" s="2239">
        <f>'[1]затраты вспом.'!AI22+'[2]затраты вспом.'!AI22</f>
        <v>50</v>
      </c>
      <c r="AJ22" s="2239">
        <f>'[1]затраты вспом.'!AJ22+'[2]затраты вспом.'!AJ22</f>
        <v>639.29999999999995</v>
      </c>
      <c r="AK22" s="259">
        <f>SUM(AH22:AJ22)</f>
        <v>695.3</v>
      </c>
      <c r="AL22" s="2239">
        <f>'[1]затраты вспом.'!AL22+'[2]затраты вспом.'!AL22</f>
        <v>4570.5</v>
      </c>
      <c r="AM22" s="2239">
        <f>'[1]затраты вспом.'!AM22+'[2]затраты вспом.'!AM22</f>
        <v>5288.7349999999997</v>
      </c>
      <c r="AN22" s="327">
        <f>AC22+AG22+AK22+AL22+AM22</f>
        <v>16324.223333333335</v>
      </c>
    </row>
    <row r="23" spans="1:40" s="230" customFormat="1">
      <c r="A23" s="969" t="s">
        <v>72</v>
      </c>
      <c r="B23" s="2239">
        <f>'[1]затраты вспом.'!B23+'[2]затраты вспом.'!B23</f>
        <v>34.164659999999998</v>
      </c>
      <c r="C23" s="245"/>
      <c r="D23" s="245"/>
      <c r="E23" s="245"/>
      <c r="F23" s="245"/>
      <c r="G23" s="246"/>
      <c r="H23" s="397">
        <f t="shared" si="2"/>
        <v>0</v>
      </c>
      <c r="I23" s="2239">
        <f>'[1]затраты вспом.'!I23+'[2]затраты вспом.'!I23</f>
        <v>1164.6717599999999</v>
      </c>
      <c r="J23" s="2239">
        <f>'[1]затраты вспом.'!J23+'[2]затраты вспом.'!J23</f>
        <v>3226.6760399999998</v>
      </c>
      <c r="K23" s="2239">
        <f>'[1]затраты вспом.'!K23+'[2]затраты вспом.'!K23</f>
        <v>333.21903000000003</v>
      </c>
      <c r="L23" s="2239">
        <f>'[1]затраты вспом.'!L23+'[2]затраты вспом.'!L23</f>
        <v>15.227040000000001</v>
      </c>
      <c r="M23" s="259">
        <f>SUM(J23:L23)</f>
        <v>3575.1221100000002</v>
      </c>
      <c r="N23" s="2239">
        <f>'[1]затраты вспом.'!N23+'[2]затраты вспом.'!N23</f>
        <v>72.424319999999994</v>
      </c>
      <c r="O23" s="2239">
        <f>'[1]затраты вспом.'!O23+'[2]затраты вспом.'!O23</f>
        <v>139.24889999999999</v>
      </c>
      <c r="P23" s="2239">
        <f>'[1]затраты вспом.'!P23+'[2]затраты вспом.'!P23</f>
        <v>150.45264</v>
      </c>
      <c r="Q23" s="327">
        <f t="shared" si="12"/>
        <v>362.12585999999999</v>
      </c>
      <c r="R23" s="2239">
        <f>'[1]затраты вспом.'!R23+'[2]затраты вспом.'!R23</f>
        <v>449.71583999999996</v>
      </c>
      <c r="S23" s="2239">
        <f>'[1]затраты вспом.'!S23+'[2]затраты вспом.'!S23</f>
        <v>112.52544</v>
      </c>
      <c r="T23" s="2239">
        <f>'[1]затраты вспом.'!T23+'[2]затраты вспом.'!T23</f>
        <v>114.81744</v>
      </c>
      <c r="U23" s="327">
        <f t="shared" si="14"/>
        <v>677.05871999999999</v>
      </c>
      <c r="V23" s="2239">
        <f>'[1]затраты вспом.'!V23+'[2]затраты вспом.'!V23</f>
        <v>2700.2026799999999</v>
      </c>
      <c r="W23" s="2239">
        <f>'[1]затраты вспом.'!W23+'[2]затраты вспом.'!W23</f>
        <v>520.38900000000001</v>
      </c>
      <c r="X23" s="2239">
        <f>'[1]затраты вспом.'!X23+'[2]затраты вспом.'!X23</f>
        <v>0</v>
      </c>
      <c r="Y23" s="327">
        <f t="shared" si="15"/>
        <v>3220.59168</v>
      </c>
      <c r="Z23" s="2239">
        <f>'[1]затраты вспом.'!Z23+'[2]затраты вспом.'!Z23</f>
        <v>250.47971999999999</v>
      </c>
      <c r="AA23" s="2239">
        <f>'[1]затраты вспом.'!AA23+'[2]затраты вспом.'!AA23</f>
        <v>0</v>
      </c>
      <c r="AB23" s="2239">
        <f>'[1]затраты вспом.'!AB23+'[2]затраты вспом.'!AB23</f>
        <v>0</v>
      </c>
      <c r="AC23" s="259">
        <f>B23+H23+I23+M23+Q23+U23+Y23+Z23+AA23+AB23</f>
        <v>9284.2145099999998</v>
      </c>
      <c r="AD23" s="2239">
        <f>'[1]затраты вспом.'!AD23+'[2]затраты вспом.'!AD23</f>
        <v>0</v>
      </c>
      <c r="AE23" s="2239">
        <f>'[1]затраты вспом.'!AE23+'[2]затраты вспом.'!AE23</f>
        <v>12337.234759999999</v>
      </c>
      <c r="AF23" s="2239">
        <f>'[1]затраты вспом.'!AF23+'[2]затраты вспом.'!AF23</f>
        <v>3525.4063800000004</v>
      </c>
      <c r="AG23" s="327">
        <f>SUM(AD23:AF23)</f>
        <v>15862.64114</v>
      </c>
      <c r="AH23" s="2239">
        <f>'[1]затраты вспом.'!AH23+'[2]затраты вспом.'!AH23</f>
        <v>490.13208000000003</v>
      </c>
      <c r="AI23" s="2239">
        <f>'[1]затраты вспом.'!AI23+'[2]затраты вспом.'!AI23</f>
        <v>41.955480000000009</v>
      </c>
      <c r="AJ23" s="2239">
        <f>'[1]затраты вспом.'!AJ23+'[2]затраты вспом.'!AJ23</f>
        <v>436.61789999999996</v>
      </c>
      <c r="AK23" s="259">
        <f>SUM(AH23:AJ23)</f>
        <v>968.70546000000002</v>
      </c>
      <c r="AL23" s="2239">
        <f>'[1]затраты вспом.'!AL23+'[2]затраты вспом.'!AL23</f>
        <v>88.774079999999998</v>
      </c>
      <c r="AM23" s="2239">
        <f>'[1]затраты вспом.'!AM23+'[2]затраты вспом.'!AM23</f>
        <v>425.19257999999996</v>
      </c>
      <c r="AN23" s="327">
        <f>AC23+AG23+AK23+AL23+AM23</f>
        <v>26629.527769999997</v>
      </c>
    </row>
    <row r="24" spans="1:40" s="230" customFormat="1" ht="9.75" customHeight="1">
      <c r="A24" s="969" t="s">
        <v>73</v>
      </c>
      <c r="B24" s="2239">
        <f>'[1]затраты вспом.'!B24+'[2]затраты вспом.'!B24</f>
        <v>5310</v>
      </c>
      <c r="C24" s="245"/>
      <c r="D24" s="245"/>
      <c r="E24" s="245"/>
      <c r="F24" s="245"/>
      <c r="G24" s="246"/>
      <c r="H24" s="397">
        <f t="shared" si="2"/>
        <v>0</v>
      </c>
      <c r="I24" s="2239">
        <f>'[1]затраты вспом.'!I24+'[2]затраты вспом.'!I24</f>
        <v>4452</v>
      </c>
      <c r="J24" s="2239">
        <f>'[1]затраты вспом.'!J24+'[2]затраты вспом.'!J24</f>
        <v>6255</v>
      </c>
      <c r="K24" s="2239">
        <f>'[1]затраты вспом.'!K24+'[2]затраты вспом.'!K24</f>
        <v>495</v>
      </c>
      <c r="L24" s="2239">
        <f>'[1]затраты вспом.'!L24+'[2]затраты вспом.'!L24</f>
        <v>420</v>
      </c>
      <c r="M24" s="259">
        <f>SUM(J24:L24)</f>
        <v>7170</v>
      </c>
      <c r="N24" s="2239">
        <f>'[1]затраты вспом.'!N24+'[2]затраты вспом.'!N24</f>
        <v>1579.5</v>
      </c>
      <c r="O24" s="2239">
        <f>'[1]затраты вспом.'!O24+'[2]затраты вспом.'!O24</f>
        <v>884.40000000000009</v>
      </c>
      <c r="P24" s="2239">
        <f>'[1]затраты вспом.'!P24+'[2]затраты вспом.'!P24</f>
        <v>0</v>
      </c>
      <c r="Q24" s="327">
        <f t="shared" si="12"/>
        <v>2463.9</v>
      </c>
      <c r="R24" s="2239">
        <f>'[1]затраты вспом.'!R24+'[2]затраты вспом.'!R24</f>
        <v>849</v>
      </c>
      <c r="S24" s="2239">
        <f>'[1]затраты вспом.'!S24+'[2]затраты вспом.'!S24</f>
        <v>0</v>
      </c>
      <c r="T24" s="2239">
        <f>'[1]затраты вспом.'!T24+'[2]затраты вспом.'!T24</f>
        <v>0</v>
      </c>
      <c r="U24" s="327">
        <f t="shared" si="14"/>
        <v>849</v>
      </c>
      <c r="V24" s="2239">
        <f>'[1]затраты вспом.'!V24+'[2]затраты вспом.'!V24</f>
        <v>258</v>
      </c>
      <c r="W24" s="2239">
        <f>'[1]затраты вспом.'!W24+'[2]затраты вспом.'!W24</f>
        <v>0</v>
      </c>
      <c r="X24" s="2239">
        <f>'[1]затраты вспом.'!X24+'[2]затраты вспом.'!X24</f>
        <v>0</v>
      </c>
      <c r="Y24" s="327">
        <f t="shared" si="15"/>
        <v>258</v>
      </c>
      <c r="Z24" s="2239">
        <f>'[1]затраты вспом.'!Z24+'[2]затраты вспом.'!Z24</f>
        <v>876</v>
      </c>
      <c r="AA24" s="2239">
        <f>'[1]затраты вспом.'!AA24+'[2]затраты вспом.'!AA24</f>
        <v>780</v>
      </c>
      <c r="AB24" s="2239">
        <f>'[1]затраты вспом.'!AB24+'[2]затраты вспом.'!AB24</f>
        <v>756</v>
      </c>
      <c r="AC24" s="259">
        <f>B24+H24+I24+M24+Q24+U24+Y24+Z24+AA24+AB24</f>
        <v>22914.9</v>
      </c>
      <c r="AD24" s="2239">
        <f>'[1]затраты вспом.'!AD24+'[2]затраты вспом.'!AD24</f>
        <v>1170</v>
      </c>
      <c r="AE24" s="2239">
        <f>'[1]затраты вспом.'!AE24+'[2]затраты вспом.'!AE24</f>
        <v>3000</v>
      </c>
      <c r="AF24" s="2239">
        <f>'[1]затраты вспом.'!AF24+'[2]затраты вспом.'!AF24</f>
        <v>2446.8000000000002</v>
      </c>
      <c r="AG24" s="327">
        <f>SUM(AD24:AF24)</f>
        <v>6616.8</v>
      </c>
      <c r="AH24" s="2239">
        <f>'[1]затраты вспом.'!AH24+'[2]затраты вспом.'!AH24</f>
        <v>1285</v>
      </c>
      <c r="AI24" s="2239">
        <f>'[1]затраты вспом.'!AI24+'[2]затраты вспом.'!AI24</f>
        <v>5810</v>
      </c>
      <c r="AJ24" s="2239">
        <f>'[1]затраты вспом.'!AJ24+'[2]затраты вспом.'!AJ24</f>
        <v>14850</v>
      </c>
      <c r="AK24" s="259">
        <f>SUM(AH24:AJ24)</f>
        <v>21945</v>
      </c>
      <c r="AL24" s="2239">
        <f>'[1]затраты вспом.'!AL24+'[2]затраты вспом.'!AL24</f>
        <v>1056</v>
      </c>
      <c r="AM24" s="2239">
        <f>'[1]затраты вспом.'!AM24+'[2]затраты вспом.'!AM24</f>
        <v>19470</v>
      </c>
      <c r="AN24" s="327">
        <f>AC24+AG24+AK24+AL24+AM24</f>
        <v>72002.7</v>
      </c>
    </row>
    <row r="25" spans="1:40" s="230" customFormat="1" ht="9.75" customHeight="1">
      <c r="A25" s="969" t="s">
        <v>74</v>
      </c>
      <c r="B25" s="240">
        <f>B24*$M$1</f>
        <v>1656.72</v>
      </c>
      <c r="C25" s="245"/>
      <c r="D25" s="245"/>
      <c r="E25" s="245"/>
      <c r="F25" s="245"/>
      <c r="G25" s="246"/>
      <c r="H25" s="397">
        <f t="shared" si="2"/>
        <v>0</v>
      </c>
      <c r="I25" s="240">
        <f t="shared" ref="I25:L25" si="21">I24*$M$1</f>
        <v>1389.0239999999999</v>
      </c>
      <c r="J25" s="240">
        <f t="shared" si="21"/>
        <v>1951.56</v>
      </c>
      <c r="K25" s="240">
        <f t="shared" si="21"/>
        <v>154.44</v>
      </c>
      <c r="L25" s="240">
        <f t="shared" si="21"/>
        <v>131.04</v>
      </c>
      <c r="M25" s="259">
        <f>SUM(J25:L25)</f>
        <v>2237.04</v>
      </c>
      <c r="N25" s="240">
        <f t="shared" ref="N25:P25" si="22">N24*$M$1</f>
        <v>492.80399999999997</v>
      </c>
      <c r="O25" s="240">
        <f t="shared" si="22"/>
        <v>275.93280000000004</v>
      </c>
      <c r="P25" s="240">
        <f t="shared" si="22"/>
        <v>0</v>
      </c>
      <c r="Q25" s="327">
        <f t="shared" si="12"/>
        <v>768.73680000000002</v>
      </c>
      <c r="R25" s="240">
        <f t="shared" ref="R25:T25" si="23">R24*$M$1</f>
        <v>264.88799999999998</v>
      </c>
      <c r="S25" s="240">
        <f t="shared" si="23"/>
        <v>0</v>
      </c>
      <c r="T25" s="240">
        <f t="shared" si="23"/>
        <v>0</v>
      </c>
      <c r="U25" s="327">
        <f t="shared" si="14"/>
        <v>264.88799999999998</v>
      </c>
      <c r="V25" s="240">
        <f>V24*$M$1</f>
        <v>80.495999999999995</v>
      </c>
      <c r="W25" s="240">
        <f t="shared" ref="W25:X25" si="24">W24*$M$1</f>
        <v>0</v>
      </c>
      <c r="X25" s="240">
        <f t="shared" si="24"/>
        <v>0</v>
      </c>
      <c r="Y25" s="327">
        <f t="shared" si="15"/>
        <v>80.495999999999995</v>
      </c>
      <c r="Z25" s="240">
        <f>Z24*$M$1</f>
        <v>273.31200000000001</v>
      </c>
      <c r="AA25" s="240">
        <f>AA24*$M$1</f>
        <v>243.36</v>
      </c>
      <c r="AB25" s="240">
        <f>AB24*$M$1</f>
        <v>235.87199999999999</v>
      </c>
      <c r="AC25" s="259">
        <f>B25+H25+I25+M25+Q25+U25+Y25+Z25+AA25+AB25</f>
        <v>7149.4487999999992</v>
      </c>
      <c r="AD25" s="240">
        <f>AD24*$M$1</f>
        <v>365.04</v>
      </c>
      <c r="AE25" s="240">
        <f t="shared" ref="AE25:AF25" si="25">AE24*$M$1</f>
        <v>936</v>
      </c>
      <c r="AF25" s="240">
        <f t="shared" si="25"/>
        <v>763.40160000000003</v>
      </c>
      <c r="AG25" s="327">
        <f>SUM(AD25:AF25)</f>
        <v>2064.4416000000001</v>
      </c>
      <c r="AH25" s="240">
        <f t="shared" ref="AH25:AJ25" si="26">AH24*$M$1</f>
        <v>400.92</v>
      </c>
      <c r="AI25" s="240">
        <f t="shared" si="26"/>
        <v>1812.72</v>
      </c>
      <c r="AJ25" s="240">
        <f t="shared" si="26"/>
        <v>4633.2</v>
      </c>
      <c r="AK25" s="259">
        <f>SUM(AH25:AJ25)</f>
        <v>6846.84</v>
      </c>
      <c r="AL25" s="240">
        <f t="shared" ref="AL25:AM25" si="27">AL24*$M$1</f>
        <v>329.47199999999998</v>
      </c>
      <c r="AM25" s="240">
        <f t="shared" si="27"/>
        <v>6074.64</v>
      </c>
      <c r="AN25" s="327">
        <f>AC25+AG25+AK25+AL25+AM25</f>
        <v>22464.842400000001</v>
      </c>
    </row>
    <row r="26" spans="1:40" s="230" customFormat="1" ht="9.75" customHeight="1">
      <c r="A26" s="969" t="s">
        <v>75</v>
      </c>
      <c r="B26" s="259">
        <f t="shared" ref="B26" si="28">SUM(B27:B29)</f>
        <v>776.5</v>
      </c>
      <c r="C26" s="328"/>
      <c r="D26" s="257"/>
      <c r="E26" s="257"/>
      <c r="F26" s="257"/>
      <c r="G26" s="328"/>
      <c r="H26" s="395">
        <f t="shared" ref="H26:AN26" si="29">SUM(H27:H29)</f>
        <v>0</v>
      </c>
      <c r="I26" s="259">
        <f t="shared" si="29"/>
        <v>3350</v>
      </c>
      <c r="J26" s="260">
        <f t="shared" si="29"/>
        <v>4158</v>
      </c>
      <c r="K26" s="257">
        <f t="shared" si="29"/>
        <v>350</v>
      </c>
      <c r="L26" s="258">
        <f t="shared" si="29"/>
        <v>100</v>
      </c>
      <c r="M26" s="259">
        <f t="shared" si="29"/>
        <v>4608</v>
      </c>
      <c r="N26" s="328">
        <f t="shared" si="29"/>
        <v>480</v>
      </c>
      <c r="O26" s="257">
        <f>SUM(O27:O29)</f>
        <v>0</v>
      </c>
      <c r="P26" s="328">
        <f t="shared" si="29"/>
        <v>0</v>
      </c>
      <c r="Q26" s="259">
        <f t="shared" si="29"/>
        <v>480</v>
      </c>
      <c r="R26" s="328">
        <f t="shared" si="29"/>
        <v>0</v>
      </c>
      <c r="S26" s="257">
        <f t="shared" si="29"/>
        <v>10</v>
      </c>
      <c r="T26" s="328">
        <f t="shared" si="29"/>
        <v>0</v>
      </c>
      <c r="U26" s="259">
        <f t="shared" si="29"/>
        <v>10</v>
      </c>
      <c r="V26" s="328">
        <f t="shared" si="29"/>
        <v>200</v>
      </c>
      <c r="W26" s="257">
        <f t="shared" si="29"/>
        <v>0</v>
      </c>
      <c r="X26" s="328">
        <f t="shared" si="29"/>
        <v>0</v>
      </c>
      <c r="Y26" s="259">
        <f t="shared" si="29"/>
        <v>200</v>
      </c>
      <c r="Z26" s="260">
        <f t="shared" si="29"/>
        <v>150</v>
      </c>
      <c r="AA26" s="257">
        <f t="shared" si="29"/>
        <v>40</v>
      </c>
      <c r="AB26" s="258">
        <f t="shared" si="29"/>
        <v>143.19999999999999</v>
      </c>
      <c r="AC26" s="259">
        <f t="shared" si="29"/>
        <v>9757.7000000000007</v>
      </c>
      <c r="AD26" s="328">
        <f t="shared" si="29"/>
        <v>0</v>
      </c>
      <c r="AE26" s="363">
        <f t="shared" si="29"/>
        <v>670</v>
      </c>
      <c r="AF26" s="1265">
        <f t="shared" si="29"/>
        <v>0</v>
      </c>
      <c r="AG26" s="259">
        <f t="shared" si="29"/>
        <v>670</v>
      </c>
      <c r="AH26" s="450">
        <f t="shared" si="29"/>
        <v>720</v>
      </c>
      <c r="AI26" s="451">
        <f t="shared" si="29"/>
        <v>54</v>
      </c>
      <c r="AJ26" s="259">
        <f t="shared" si="29"/>
        <v>1360.3649999999998</v>
      </c>
      <c r="AK26" s="259">
        <f t="shared" si="29"/>
        <v>2134.3649999999998</v>
      </c>
      <c r="AL26" s="259">
        <f t="shared" si="29"/>
        <v>412</v>
      </c>
      <c r="AM26" s="328">
        <f t="shared" si="29"/>
        <v>2250</v>
      </c>
      <c r="AN26" s="259">
        <f t="shared" si="29"/>
        <v>15224.065000000001</v>
      </c>
    </row>
    <row r="27" spans="1:40" s="230" customFormat="1" ht="9.75" customHeight="1">
      <c r="A27" s="99" t="s">
        <v>76</v>
      </c>
      <c r="B27" s="2239">
        <f>'[1]затраты вспом.'!B27+'[2]затраты вспом.'!B27</f>
        <v>776.5</v>
      </c>
      <c r="C27" s="245"/>
      <c r="D27" s="245"/>
      <c r="E27" s="245"/>
      <c r="F27" s="245"/>
      <c r="G27" s="246"/>
      <c r="H27" s="397">
        <f t="shared" si="2"/>
        <v>0</v>
      </c>
      <c r="I27" s="2239">
        <f>'[1]затраты вспом.'!I27+'[2]затраты вспом.'!I27</f>
        <v>380.00000000000006</v>
      </c>
      <c r="J27" s="2239">
        <f>'[1]затраты вспом.'!J27+'[2]затраты вспом.'!J27</f>
        <v>508</v>
      </c>
      <c r="K27" s="245"/>
      <c r="L27" s="245"/>
      <c r="M27" s="259">
        <f>SUM(J27:L27)</f>
        <v>508</v>
      </c>
      <c r="N27" s="2239">
        <f>'[1]затраты вспом.'!N27+'[2]затраты вспом.'!N27</f>
        <v>480</v>
      </c>
      <c r="O27" s="257"/>
      <c r="P27" s="328"/>
      <c r="Q27" s="327">
        <f t="shared" si="12"/>
        <v>480</v>
      </c>
      <c r="R27" s="2239">
        <f>'[1]затраты вспом.'!R27+'[2]затраты вспом.'!R27</f>
        <v>0</v>
      </c>
      <c r="S27" s="2239">
        <f>'[1]затраты вспом.'!S27+'[2]затраты вспом.'!S27</f>
        <v>10</v>
      </c>
      <c r="T27" s="2239">
        <f>'[1]затраты вспом.'!T27+'[2]затраты вспом.'!T27</f>
        <v>0</v>
      </c>
      <c r="U27" s="327">
        <f t="shared" si="14"/>
        <v>10</v>
      </c>
      <c r="V27" s="2239">
        <f>'[1]затраты вспом.'!V27+'[2]затраты вспом.'!V27</f>
        <v>200</v>
      </c>
      <c r="W27" s="257"/>
      <c r="X27" s="328"/>
      <c r="Y27" s="327">
        <f t="shared" si="15"/>
        <v>200</v>
      </c>
      <c r="Z27" s="2239">
        <f>'[1]затраты вспом.'!Z27+'[2]затраты вспом.'!Z27</f>
        <v>150</v>
      </c>
      <c r="AA27" s="2239">
        <f>'[1]затраты вспом.'!AA27+'[2]затраты вспом.'!AA27</f>
        <v>40</v>
      </c>
      <c r="AB27" s="2239">
        <f>'[1]затраты вспом.'!AB27+'[2]затраты вспом.'!AB27</f>
        <v>143.19999999999999</v>
      </c>
      <c r="AC27" s="259">
        <f>B27+H27+I27+M27+Q27+U27+Y27+Z27+AA27+AB27</f>
        <v>2687.7</v>
      </c>
      <c r="AD27" s="2239">
        <f>'[1]затраты вспом.'!AD27+'[2]затраты вспом.'!AD27</f>
        <v>0</v>
      </c>
      <c r="AE27" s="2239">
        <f>'[1]затраты вспом.'!AE27+'[2]затраты вспом.'!AE27</f>
        <v>670</v>
      </c>
      <c r="AF27" s="2239">
        <f>'[1]затраты вспом.'!AF27+'[2]затраты вспом.'!AF27</f>
        <v>0</v>
      </c>
      <c r="AG27" s="327">
        <f>SUM(AD27:AF27)</f>
        <v>670</v>
      </c>
      <c r="AH27" s="2239">
        <f>'[1]затраты вспом.'!AH27+'[2]затраты вспом.'!AH27</f>
        <v>120</v>
      </c>
      <c r="AI27" s="2239">
        <f>'[1]затраты вспом.'!AI27+'[2]затраты вспом.'!AI27</f>
        <v>0</v>
      </c>
      <c r="AJ27" s="2239">
        <f>'[1]затраты вспом.'!AJ27+'[2]затраты вспом.'!AJ27</f>
        <v>334.4</v>
      </c>
      <c r="AK27" s="259">
        <f>SUM(AH27:AJ27)</f>
        <v>454.4</v>
      </c>
      <c r="AL27" s="2239">
        <f>'[1]затраты вспом.'!AL27+'[2]затраты вспом.'!AL27</f>
        <v>412</v>
      </c>
      <c r="AM27" s="2239">
        <f>'[1]затраты вспом.'!AM27+'[2]затраты вспом.'!AM27</f>
        <v>450</v>
      </c>
      <c r="AN27" s="327">
        <f>AC27+AG27+AK27+AL27+AM27</f>
        <v>4674.1000000000004</v>
      </c>
    </row>
    <row r="28" spans="1:40" s="230" customFormat="1" ht="9.75" customHeight="1">
      <c r="A28" s="99" t="s">
        <v>77</v>
      </c>
      <c r="B28" s="259"/>
      <c r="C28" s="260"/>
      <c r="D28" s="257"/>
      <c r="E28" s="257"/>
      <c r="F28" s="257"/>
      <c r="G28" s="258"/>
      <c r="H28" s="397">
        <f t="shared" si="2"/>
        <v>0</v>
      </c>
      <c r="I28" s="2239">
        <f>'[1]затраты вспом.'!I28+'[2]затраты вспом.'!I28</f>
        <v>2510</v>
      </c>
      <c r="J28" s="2239">
        <f>'[1]затраты вспом.'!J28+'[2]затраты вспом.'!J28</f>
        <v>1650</v>
      </c>
      <c r="K28" s="2239">
        <f>'[1]затраты вспом.'!K28+'[2]затраты вспом.'!K28</f>
        <v>350</v>
      </c>
      <c r="L28" s="2239">
        <f>'[1]затраты вспом.'!L28+'[2]затраты вспом.'!L28</f>
        <v>100</v>
      </c>
      <c r="M28" s="259">
        <f>SUM(J28:L28)</f>
        <v>2100</v>
      </c>
      <c r="N28" s="328"/>
      <c r="O28" s="257"/>
      <c r="P28" s="258"/>
      <c r="Q28" s="327">
        <f t="shared" si="12"/>
        <v>0</v>
      </c>
      <c r="R28" s="328"/>
      <c r="S28" s="257"/>
      <c r="T28" s="328"/>
      <c r="U28" s="327">
        <f t="shared" si="14"/>
        <v>0</v>
      </c>
      <c r="V28" s="328"/>
      <c r="W28" s="257"/>
      <c r="X28" s="328"/>
      <c r="Y28" s="327">
        <f t="shared" si="15"/>
        <v>0</v>
      </c>
      <c r="Z28" s="260"/>
      <c r="AA28" s="257"/>
      <c r="AB28" s="258"/>
      <c r="AC28" s="259">
        <f>B28+H28+I28+M28+Q28+U28+Y28+Z28+AA28+AB28</f>
        <v>4610</v>
      </c>
      <c r="AD28" s="328"/>
      <c r="AE28" s="361">
        <f>'[1]затраты вспом.'!AE28</f>
        <v>0</v>
      </c>
      <c r="AF28" s="343">
        <f>'[1]затраты вспом.'!AF28</f>
        <v>0</v>
      </c>
      <c r="AG28" s="327">
        <f>SUM(AD28:AF28)</f>
        <v>0</v>
      </c>
      <c r="AH28" s="2239">
        <f>'[1]затраты вспом.'!AH28+'[2]затраты вспом.'!AH28</f>
        <v>300</v>
      </c>
      <c r="AI28" s="2239">
        <f>'[1]затраты вспом.'!AI28+'[2]затраты вспом.'!AI28</f>
        <v>54</v>
      </c>
      <c r="AJ28" s="2239">
        <f>'[1]затраты вспом.'!AJ28+'[2]затраты вспом.'!AJ28</f>
        <v>0</v>
      </c>
      <c r="AK28" s="259">
        <f>SUM(AH28:AJ28)</f>
        <v>354</v>
      </c>
      <c r="AL28" s="259"/>
      <c r="AM28" s="2239">
        <f>'[1]затраты вспом.'!AM28+'[2]затраты вспом.'!AM28</f>
        <v>0</v>
      </c>
      <c r="AN28" s="327">
        <f>AC28+AG28+AK28+AL28+AM28</f>
        <v>4964</v>
      </c>
    </row>
    <row r="29" spans="1:40" s="230" customFormat="1" ht="9.75" customHeight="1">
      <c r="A29" s="970" t="s">
        <v>78</v>
      </c>
      <c r="B29" s="259"/>
      <c r="C29" s="260"/>
      <c r="D29" s="257"/>
      <c r="E29" s="257"/>
      <c r="F29" s="257"/>
      <c r="G29" s="258"/>
      <c r="H29" s="397">
        <f t="shared" si="2"/>
        <v>0</v>
      </c>
      <c r="I29" s="2239">
        <f>'[1]затраты вспом.'!I29+'[2]затраты вспом.'!I29</f>
        <v>459.99999999999994</v>
      </c>
      <c r="J29" s="2239">
        <f>'[1]затраты вспом.'!J29+'[2]затраты вспом.'!J29</f>
        <v>2000</v>
      </c>
      <c r="K29" s="245"/>
      <c r="L29" s="245"/>
      <c r="M29" s="259">
        <f>SUM(J29:L29)</f>
        <v>2000</v>
      </c>
      <c r="N29" s="328"/>
      <c r="O29" s="257"/>
      <c r="P29" s="258"/>
      <c r="Q29" s="327">
        <f t="shared" si="12"/>
        <v>0</v>
      </c>
      <c r="R29" s="328"/>
      <c r="S29" s="257"/>
      <c r="T29" s="328"/>
      <c r="U29" s="327">
        <f t="shared" si="14"/>
        <v>0</v>
      </c>
      <c r="V29" s="328"/>
      <c r="W29" s="257"/>
      <c r="X29" s="328"/>
      <c r="Y29" s="327">
        <f t="shared" si="15"/>
        <v>0</v>
      </c>
      <c r="Z29" s="260"/>
      <c r="AA29" s="257"/>
      <c r="AB29" s="258"/>
      <c r="AC29" s="259">
        <f>B29+H29+I29+M29+Q29+U29+Y29+Z29+AA29+AB29</f>
        <v>2460</v>
      </c>
      <c r="AD29" s="328"/>
      <c r="AE29" s="361">
        <f>'[1]затраты вспом.'!AE29</f>
        <v>0</v>
      </c>
      <c r="AF29" s="343">
        <f>'[1]затраты вспом.'!AF29</f>
        <v>0</v>
      </c>
      <c r="AG29" s="327">
        <f>SUM(AD29:AF29)</f>
        <v>0</v>
      </c>
      <c r="AH29" s="2239">
        <f>'[1]затраты вспом.'!AH29+'[2]затраты вспом.'!AH29</f>
        <v>300</v>
      </c>
      <c r="AI29" s="2239">
        <f>'[1]затраты вспом.'!AI29+'[2]затраты вспом.'!AI29</f>
        <v>0</v>
      </c>
      <c r="AJ29" s="2239">
        <f>'[1]затраты вспом.'!AJ29+'[2]затраты вспом.'!AJ29</f>
        <v>1025.9649999999999</v>
      </c>
      <c r="AK29" s="259">
        <f>SUM(AH29:AJ29)</f>
        <v>1325.9649999999999</v>
      </c>
      <c r="AL29" s="259"/>
      <c r="AM29" s="2239">
        <f>'[1]затраты вспом.'!AM29+'[2]затраты вспом.'!AM29</f>
        <v>1800</v>
      </c>
      <c r="AN29" s="327">
        <f>AC29+AG29+AK29+AL29+AM29</f>
        <v>5585.9650000000001</v>
      </c>
    </row>
    <row r="30" spans="1:40" s="230" customFormat="1" ht="9.75" customHeight="1">
      <c r="A30" s="969" t="s">
        <v>79</v>
      </c>
      <c r="B30" s="259">
        <f t="shared" ref="B30:AN30" si="30">SUM(B31:B40)</f>
        <v>60</v>
      </c>
      <c r="C30" s="260"/>
      <c r="D30" s="257"/>
      <c r="E30" s="257"/>
      <c r="F30" s="257"/>
      <c r="G30" s="258"/>
      <c r="H30" s="395">
        <f t="shared" si="30"/>
        <v>0</v>
      </c>
      <c r="I30" s="259">
        <f t="shared" si="30"/>
        <v>0</v>
      </c>
      <c r="J30" s="260">
        <f t="shared" si="30"/>
        <v>650</v>
      </c>
      <c r="K30" s="257">
        <f t="shared" si="30"/>
        <v>113</v>
      </c>
      <c r="L30" s="258">
        <f t="shared" si="30"/>
        <v>25</v>
      </c>
      <c r="M30" s="259">
        <f t="shared" si="30"/>
        <v>788</v>
      </c>
      <c r="N30" s="328">
        <f t="shared" si="30"/>
        <v>1560</v>
      </c>
      <c r="O30" s="257">
        <f t="shared" si="30"/>
        <v>200</v>
      </c>
      <c r="P30" s="258">
        <f t="shared" si="30"/>
        <v>200</v>
      </c>
      <c r="Q30" s="259">
        <f t="shared" si="30"/>
        <v>1960</v>
      </c>
      <c r="R30" s="328">
        <f t="shared" si="30"/>
        <v>860</v>
      </c>
      <c r="S30" s="257">
        <f t="shared" si="30"/>
        <v>370</v>
      </c>
      <c r="T30" s="328">
        <f t="shared" si="30"/>
        <v>370</v>
      </c>
      <c r="U30" s="259">
        <f t="shared" si="30"/>
        <v>1600</v>
      </c>
      <c r="V30" s="328">
        <f t="shared" si="30"/>
        <v>1177</v>
      </c>
      <c r="W30" s="257">
        <f t="shared" si="30"/>
        <v>177</v>
      </c>
      <c r="X30" s="328">
        <f t="shared" si="30"/>
        <v>206</v>
      </c>
      <c r="Y30" s="259">
        <f t="shared" si="30"/>
        <v>1560</v>
      </c>
      <c r="Z30" s="260">
        <f t="shared" si="30"/>
        <v>700</v>
      </c>
      <c r="AA30" s="257">
        <f t="shared" si="30"/>
        <v>0</v>
      </c>
      <c r="AB30" s="258">
        <f t="shared" si="30"/>
        <v>756.8</v>
      </c>
      <c r="AC30" s="259">
        <f t="shared" si="30"/>
        <v>7424.8</v>
      </c>
      <c r="AD30" s="258">
        <f t="shared" si="30"/>
        <v>0</v>
      </c>
      <c r="AE30" s="363">
        <f t="shared" si="30"/>
        <v>2695.75</v>
      </c>
      <c r="AF30" s="1265">
        <f t="shared" si="30"/>
        <v>5297.0704800000003</v>
      </c>
      <c r="AG30" s="259">
        <f t="shared" si="30"/>
        <v>7992.8204800000003</v>
      </c>
      <c r="AH30" s="450">
        <f t="shared" si="30"/>
        <v>120</v>
      </c>
      <c r="AI30" s="327">
        <f t="shared" si="30"/>
        <v>1244.4000000000001</v>
      </c>
      <c r="AJ30" s="259">
        <f t="shared" si="30"/>
        <v>2094</v>
      </c>
      <c r="AK30" s="259">
        <f t="shared" si="30"/>
        <v>3458.4</v>
      </c>
      <c r="AL30" s="259">
        <f t="shared" si="30"/>
        <v>88</v>
      </c>
      <c r="AM30" s="328">
        <f t="shared" si="30"/>
        <v>15812</v>
      </c>
      <c r="AN30" s="259">
        <f t="shared" si="30"/>
        <v>34776.020479999999</v>
      </c>
    </row>
    <row r="31" spans="1:40" s="230" customFormat="1" ht="9.75" customHeight="1">
      <c r="A31" s="99" t="s">
        <v>524</v>
      </c>
      <c r="B31" s="2239">
        <f>'[1]затраты вспом.'!B31+'[2]затраты вспом.'!B31</f>
        <v>0</v>
      </c>
      <c r="C31" s="245"/>
      <c r="D31" s="245"/>
      <c r="E31" s="245"/>
      <c r="F31" s="245"/>
      <c r="G31" s="246"/>
      <c r="H31" s="397">
        <f t="shared" si="2"/>
        <v>0</v>
      </c>
      <c r="I31" s="245">
        <f>'[1]затраты вспом.'!I31</f>
        <v>0</v>
      </c>
      <c r="J31" s="2239">
        <f>'[1]затраты вспом.'!J31+'[2]затраты вспом.'!J31</f>
        <v>650</v>
      </c>
      <c r="K31" s="2239">
        <f>'[1]затраты вспом.'!K31+'[2]затраты вспом.'!K31</f>
        <v>113</v>
      </c>
      <c r="L31" s="2239">
        <f>'[1]затраты вспом.'!L31+'[2]затраты вспом.'!L31</f>
        <v>25</v>
      </c>
      <c r="M31" s="259">
        <f t="shared" ref="M31:M40" si="31">SUM(J31:L31)</f>
        <v>788</v>
      </c>
      <c r="N31" s="2239">
        <f>'[1]затраты вспом.'!N31+'[2]затраты вспом.'!N31</f>
        <v>1560</v>
      </c>
      <c r="O31" s="2239">
        <f>'[1]затраты вспом.'!O31+'[2]затраты вспом.'!O31</f>
        <v>200</v>
      </c>
      <c r="P31" s="2239">
        <f>'[1]затраты вспом.'!P31+'[2]затраты вспом.'!P31</f>
        <v>200</v>
      </c>
      <c r="Q31" s="327">
        <f t="shared" si="12"/>
        <v>1960</v>
      </c>
      <c r="R31" s="2239">
        <f>'[1]затраты вспом.'!R31+'[2]затраты вспом.'!R31</f>
        <v>820</v>
      </c>
      <c r="S31" s="2239">
        <f>'[1]затраты вспом.'!S31+'[2]затраты вспом.'!S31</f>
        <v>370</v>
      </c>
      <c r="T31" s="2239">
        <f>'[1]затраты вспом.'!T31+'[2]затраты вспом.'!T31</f>
        <v>370</v>
      </c>
      <c r="U31" s="327">
        <f t="shared" si="14"/>
        <v>1560</v>
      </c>
      <c r="V31" s="2239">
        <f>'[1]затраты вспом.'!V31+'[2]затраты вспом.'!V31</f>
        <v>1177</v>
      </c>
      <c r="W31" s="2239">
        <f>'[1]затраты вспом.'!W31+'[2]затраты вспом.'!W31</f>
        <v>177</v>
      </c>
      <c r="X31" s="2239">
        <f>'[1]затраты вспом.'!X31+'[2]затраты вспом.'!X31</f>
        <v>206</v>
      </c>
      <c r="Y31" s="327">
        <f t="shared" si="15"/>
        <v>1560</v>
      </c>
      <c r="Z31" s="2239">
        <f>'[1]затраты вспом.'!Z31+'[2]затраты вспом.'!Z31</f>
        <v>700</v>
      </c>
      <c r="AA31" s="2239">
        <f>'[1]затраты вспом.'!AA31+'[2]затраты вспом.'!AA31</f>
        <v>0</v>
      </c>
      <c r="AB31" s="2239">
        <f>'[1]затраты вспом.'!AB31+'[2]затраты вспом.'!AB31</f>
        <v>756.8</v>
      </c>
      <c r="AC31" s="259">
        <f t="shared" ref="AC31:AC40" si="32">B31+H31+I31+M31+Q31+U31+Y31+Z31+AA31+AB31</f>
        <v>7324.8</v>
      </c>
      <c r="AD31" s="328"/>
      <c r="AE31" s="2239">
        <f>'[1]затраты вспом.'!AE31+'[2]затраты вспом.'!AE31</f>
        <v>2695.75</v>
      </c>
      <c r="AF31" s="2239">
        <f>'[1]затраты вспом.'!AF31+'[2]затраты вспом.'!AF31</f>
        <v>5260</v>
      </c>
      <c r="AG31" s="327">
        <f t="shared" ref="AG31:AG40" si="33">SUM(AD31:AF31)</f>
        <v>7955.75</v>
      </c>
      <c r="AH31" s="2239">
        <f>'[1]затраты вспом.'!AH31+'[2]затраты вспом.'!AH31</f>
        <v>120</v>
      </c>
      <c r="AI31" s="2239">
        <f>'[1]затраты вспом.'!AI31+'[2]затраты вспом.'!AI31</f>
        <v>1244.4000000000001</v>
      </c>
      <c r="AJ31" s="2239">
        <f>'[1]затраты вспом.'!AJ31+'[2]затраты вспом.'!AJ31</f>
        <v>1449</v>
      </c>
      <c r="AK31" s="259">
        <f t="shared" ref="AK31:AK40" si="34">SUM(AH31:AJ31)</f>
        <v>2813.4</v>
      </c>
      <c r="AL31" s="2239">
        <f>'[1]затраты вспом.'!AL31+'[2]затраты вспом.'!AL31</f>
        <v>88</v>
      </c>
      <c r="AM31" s="2239">
        <f>'[1]затраты вспом.'!AM31+'[2]затраты вспом.'!AM31</f>
        <v>7049</v>
      </c>
      <c r="AN31" s="327">
        <f t="shared" ref="AN31:AN40" si="35">AC31+AG31+AK31+AL31+AM31</f>
        <v>25230.95</v>
      </c>
    </row>
    <row r="32" spans="1:40" s="230" customFormat="1" ht="9.75" customHeight="1">
      <c r="A32" s="971" t="s">
        <v>80</v>
      </c>
      <c r="B32" s="259"/>
      <c r="C32" s="260"/>
      <c r="D32" s="260"/>
      <c r="E32" s="260"/>
      <c r="F32" s="260"/>
      <c r="G32" s="328"/>
      <c r="H32" s="397">
        <f t="shared" si="2"/>
        <v>0</v>
      </c>
      <c r="I32" s="259"/>
      <c r="J32" s="260"/>
      <c r="K32" s="257"/>
      <c r="L32" s="258"/>
      <c r="M32" s="259">
        <f t="shared" si="31"/>
        <v>0</v>
      </c>
      <c r="N32" s="328"/>
      <c r="O32" s="257"/>
      <c r="P32" s="258"/>
      <c r="Q32" s="327">
        <f t="shared" si="12"/>
        <v>0</v>
      </c>
      <c r="R32" s="328"/>
      <c r="S32" s="257"/>
      <c r="T32" s="328"/>
      <c r="U32" s="327">
        <f t="shared" si="14"/>
        <v>0</v>
      </c>
      <c r="V32" s="260"/>
      <c r="W32" s="257"/>
      <c r="X32" s="258"/>
      <c r="Y32" s="327">
        <f t="shared" si="15"/>
        <v>0</v>
      </c>
      <c r="Z32" s="260"/>
      <c r="AA32" s="257"/>
      <c r="AB32" s="258"/>
      <c r="AC32" s="259">
        <f t="shared" si="32"/>
        <v>0</v>
      </c>
      <c r="AD32" s="328"/>
      <c r="AE32" s="363"/>
      <c r="AF32" s="1265"/>
      <c r="AG32" s="327">
        <f t="shared" si="33"/>
        <v>0</v>
      </c>
      <c r="AH32" s="328"/>
      <c r="AI32" s="245">
        <f>'[1]затраты вспом.'!AI32</f>
        <v>0</v>
      </c>
      <c r="AJ32" s="2239">
        <f>'[1]затраты вспом.'!AJ32+'[2]затраты вспом.'!AJ32</f>
        <v>0</v>
      </c>
      <c r="AK32" s="259">
        <f t="shared" si="34"/>
        <v>0</v>
      </c>
      <c r="AL32" s="2239">
        <f>'[1]затраты вспом.'!AL32+'[2]затраты вспом.'!AL32</f>
        <v>0</v>
      </c>
      <c r="AM32" s="2239">
        <f>'[1]затраты вспом.'!AM32+'[2]затраты вспом.'!AM32</f>
        <v>0</v>
      </c>
      <c r="AN32" s="327">
        <f t="shared" si="35"/>
        <v>0</v>
      </c>
    </row>
    <row r="33" spans="1:40" s="230" customFormat="1" ht="9.75" customHeight="1">
      <c r="A33" s="971" t="s">
        <v>81</v>
      </c>
      <c r="B33" s="259"/>
      <c r="C33" s="260"/>
      <c r="D33" s="260"/>
      <c r="E33" s="260"/>
      <c r="F33" s="260"/>
      <c r="G33" s="328"/>
      <c r="H33" s="397">
        <f t="shared" si="2"/>
        <v>0</v>
      </c>
      <c r="I33" s="259"/>
      <c r="J33" s="260"/>
      <c r="K33" s="257"/>
      <c r="L33" s="258"/>
      <c r="M33" s="259">
        <f t="shared" si="31"/>
        <v>0</v>
      </c>
      <c r="N33" s="328"/>
      <c r="O33" s="257"/>
      <c r="P33" s="258"/>
      <c r="Q33" s="327">
        <f t="shared" si="12"/>
        <v>0</v>
      </c>
      <c r="R33" s="328"/>
      <c r="S33" s="257"/>
      <c r="T33" s="328"/>
      <c r="U33" s="327">
        <f t="shared" si="14"/>
        <v>0</v>
      </c>
      <c r="V33" s="260"/>
      <c r="W33" s="257"/>
      <c r="X33" s="258"/>
      <c r="Y33" s="327">
        <f t="shared" si="15"/>
        <v>0</v>
      </c>
      <c r="Z33" s="260"/>
      <c r="AA33" s="257"/>
      <c r="AB33" s="258"/>
      <c r="AC33" s="259">
        <f t="shared" si="32"/>
        <v>0</v>
      </c>
      <c r="AD33" s="328"/>
      <c r="AE33" s="363"/>
      <c r="AF33" s="2239">
        <f>'[1]затраты вспом.'!AF33+'[2]затраты вспом.'!AF33</f>
        <v>37.070480000000003</v>
      </c>
      <c r="AG33" s="327">
        <f t="shared" si="33"/>
        <v>37.070480000000003</v>
      </c>
      <c r="AH33" s="328"/>
      <c r="AI33" s="245">
        <f>'[1]затраты вспом.'!AI33</f>
        <v>0</v>
      </c>
      <c r="AJ33" s="2239">
        <f>'[1]затраты вспом.'!AJ33+'[2]затраты вспом.'!AJ33</f>
        <v>0</v>
      </c>
      <c r="AK33" s="259">
        <f t="shared" si="34"/>
        <v>0</v>
      </c>
      <c r="AL33" s="2239">
        <f>'[1]затраты вспом.'!AL33+'[2]затраты вспом.'!AL33</f>
        <v>0</v>
      </c>
      <c r="AM33" s="2239">
        <f>'[1]затраты вспом.'!AM33+'[2]затраты вспом.'!AM33</f>
        <v>4032</v>
      </c>
      <c r="AN33" s="327">
        <f t="shared" si="35"/>
        <v>4069.0704799999999</v>
      </c>
    </row>
    <row r="34" spans="1:40" s="230" customFormat="1" ht="9.75" customHeight="1">
      <c r="A34" s="970" t="s">
        <v>82</v>
      </c>
      <c r="B34" s="259"/>
      <c r="C34" s="260"/>
      <c r="D34" s="260"/>
      <c r="E34" s="260"/>
      <c r="F34" s="260"/>
      <c r="G34" s="328"/>
      <c r="H34" s="397">
        <f t="shared" si="2"/>
        <v>0</v>
      </c>
      <c r="I34" s="259"/>
      <c r="J34" s="260"/>
      <c r="K34" s="257"/>
      <c r="L34" s="258"/>
      <c r="M34" s="259">
        <f t="shared" si="31"/>
        <v>0</v>
      </c>
      <c r="N34" s="328"/>
      <c r="O34" s="257"/>
      <c r="P34" s="258"/>
      <c r="Q34" s="327">
        <f t="shared" si="12"/>
        <v>0</v>
      </c>
      <c r="R34" s="328"/>
      <c r="S34" s="257"/>
      <c r="T34" s="328"/>
      <c r="U34" s="327">
        <f t="shared" si="14"/>
        <v>0</v>
      </c>
      <c r="V34" s="260"/>
      <c r="W34" s="257"/>
      <c r="X34" s="258"/>
      <c r="Y34" s="327">
        <f t="shared" si="15"/>
        <v>0</v>
      </c>
      <c r="Z34" s="260"/>
      <c r="AA34" s="257"/>
      <c r="AB34" s="258"/>
      <c r="AC34" s="259">
        <f t="shared" si="32"/>
        <v>0</v>
      </c>
      <c r="AD34" s="328"/>
      <c r="AE34" s="363"/>
      <c r="AF34" s="1265"/>
      <c r="AG34" s="327">
        <f t="shared" si="33"/>
        <v>0</v>
      </c>
      <c r="AH34" s="328"/>
      <c r="AI34" s="245">
        <f>'[1]затраты вспом.'!AI34</f>
        <v>0</v>
      </c>
      <c r="AJ34" s="2239">
        <f>'[1]затраты вспом.'!AJ34+'[2]затраты вспом.'!AJ34</f>
        <v>54</v>
      </c>
      <c r="AK34" s="259">
        <f t="shared" si="34"/>
        <v>54</v>
      </c>
      <c r="AL34" s="2239">
        <f>'[1]затраты вспом.'!AL34+'[2]затраты вспом.'!AL34</f>
        <v>0</v>
      </c>
      <c r="AM34" s="2239">
        <f>'[1]затраты вспом.'!AM34+'[2]затраты вспом.'!AM34</f>
        <v>0</v>
      </c>
      <c r="AN34" s="327">
        <f t="shared" si="35"/>
        <v>54</v>
      </c>
    </row>
    <row r="35" spans="1:40" s="230" customFormat="1" ht="9.75" customHeight="1">
      <c r="A35" s="970" t="s">
        <v>83</v>
      </c>
      <c r="B35" s="259"/>
      <c r="C35" s="260"/>
      <c r="D35" s="260"/>
      <c r="E35" s="260"/>
      <c r="F35" s="260"/>
      <c r="G35" s="328"/>
      <c r="H35" s="397">
        <f t="shared" si="2"/>
        <v>0</v>
      </c>
      <c r="I35" s="259"/>
      <c r="J35" s="2239">
        <f>'[1]затраты вспом.'!J35+'[2]затраты вспом.'!J35</f>
        <v>0</v>
      </c>
      <c r="K35" s="257"/>
      <c r="L35" s="258"/>
      <c r="M35" s="259">
        <f t="shared" si="31"/>
        <v>0</v>
      </c>
      <c r="N35" s="328"/>
      <c r="O35" s="257"/>
      <c r="P35" s="258"/>
      <c r="Q35" s="327">
        <f t="shared" si="12"/>
        <v>0</v>
      </c>
      <c r="R35" s="328"/>
      <c r="S35" s="257"/>
      <c r="T35" s="328"/>
      <c r="U35" s="327">
        <f t="shared" si="14"/>
        <v>0</v>
      </c>
      <c r="V35" s="260"/>
      <c r="W35" s="257"/>
      <c r="X35" s="258"/>
      <c r="Y35" s="327">
        <f t="shared" si="15"/>
        <v>0</v>
      </c>
      <c r="Z35" s="260"/>
      <c r="AA35" s="257"/>
      <c r="AB35" s="258"/>
      <c r="AC35" s="259">
        <f t="shared" si="32"/>
        <v>0</v>
      </c>
      <c r="AD35" s="328"/>
      <c r="AE35" s="361">
        <f>'[1]затраты вспом.'!AE35</f>
        <v>0</v>
      </c>
      <c r="AF35" s="1265"/>
      <c r="AG35" s="327">
        <f t="shared" si="33"/>
        <v>0</v>
      </c>
      <c r="AH35" s="328"/>
      <c r="AI35" s="245">
        <f>'[1]затраты вспом.'!AI35</f>
        <v>0</v>
      </c>
      <c r="AJ35" s="2239">
        <f>'[1]затраты вспом.'!AJ35+'[2]затраты вспом.'!AJ35</f>
        <v>378</v>
      </c>
      <c r="AK35" s="259">
        <f t="shared" si="34"/>
        <v>378</v>
      </c>
      <c r="AL35" s="2239">
        <f>'[1]затраты вспом.'!AL35+'[2]затраты вспом.'!AL35</f>
        <v>0</v>
      </c>
      <c r="AM35" s="2239">
        <f>'[1]затраты вспом.'!AM35+'[2]затраты вспом.'!AM35</f>
        <v>0</v>
      </c>
      <c r="AN35" s="327">
        <f t="shared" si="35"/>
        <v>378</v>
      </c>
    </row>
    <row r="36" spans="1:40" s="230" customFormat="1" ht="9.75" customHeight="1">
      <c r="A36" s="970" t="s">
        <v>84</v>
      </c>
      <c r="B36" s="259"/>
      <c r="C36" s="260"/>
      <c r="D36" s="260"/>
      <c r="E36" s="260"/>
      <c r="F36" s="260"/>
      <c r="G36" s="328"/>
      <c r="H36" s="397">
        <f t="shared" si="2"/>
        <v>0</v>
      </c>
      <c r="I36" s="259"/>
      <c r="J36" s="260"/>
      <c r="K36" s="257"/>
      <c r="L36" s="258"/>
      <c r="M36" s="259">
        <f t="shared" si="31"/>
        <v>0</v>
      </c>
      <c r="N36" s="328"/>
      <c r="O36" s="257"/>
      <c r="P36" s="258"/>
      <c r="Q36" s="327">
        <f t="shared" si="12"/>
        <v>0</v>
      </c>
      <c r="R36" s="328"/>
      <c r="S36" s="257"/>
      <c r="T36" s="328"/>
      <c r="U36" s="327">
        <f t="shared" si="14"/>
        <v>0</v>
      </c>
      <c r="V36" s="260"/>
      <c r="W36" s="257"/>
      <c r="X36" s="258"/>
      <c r="Y36" s="327">
        <f t="shared" si="15"/>
        <v>0</v>
      </c>
      <c r="Z36" s="260"/>
      <c r="AA36" s="257"/>
      <c r="AB36" s="258"/>
      <c r="AC36" s="259">
        <f t="shared" si="32"/>
        <v>0</v>
      </c>
      <c r="AD36" s="328"/>
      <c r="AE36" s="363"/>
      <c r="AF36" s="1265"/>
      <c r="AG36" s="327">
        <f t="shared" si="33"/>
        <v>0</v>
      </c>
      <c r="AH36" s="328"/>
      <c r="AI36" s="245">
        <f>'[1]затраты вспом.'!AI36</f>
        <v>0</v>
      </c>
      <c r="AJ36" s="2239">
        <f>'[1]затраты вспом.'!AJ36+'[2]затраты вспом.'!AJ36</f>
        <v>0</v>
      </c>
      <c r="AK36" s="259">
        <f t="shared" si="34"/>
        <v>0</v>
      </c>
      <c r="AL36" s="2239">
        <f>'[1]затраты вспом.'!AL36+'[2]затраты вспом.'!AL36</f>
        <v>0</v>
      </c>
      <c r="AM36" s="2239">
        <f>'[1]затраты вспом.'!AM36+'[2]затраты вспом.'!AM36</f>
        <v>888</v>
      </c>
      <c r="AN36" s="327">
        <f t="shared" si="35"/>
        <v>888</v>
      </c>
    </row>
    <row r="37" spans="1:40" s="230" customFormat="1" ht="9.75" customHeight="1">
      <c r="A37" s="971" t="s">
        <v>85</v>
      </c>
      <c r="B37" s="259"/>
      <c r="C37" s="260"/>
      <c r="D37" s="260"/>
      <c r="E37" s="260"/>
      <c r="F37" s="260"/>
      <c r="G37" s="328"/>
      <c r="H37" s="397">
        <f t="shared" si="2"/>
        <v>0</v>
      </c>
      <c r="I37" s="259"/>
      <c r="J37" s="260"/>
      <c r="K37" s="257"/>
      <c r="L37" s="258"/>
      <c r="M37" s="259">
        <f t="shared" si="31"/>
        <v>0</v>
      </c>
      <c r="N37" s="328"/>
      <c r="O37" s="257"/>
      <c r="P37" s="258"/>
      <c r="Q37" s="327">
        <f t="shared" si="12"/>
        <v>0</v>
      </c>
      <c r="R37" s="328"/>
      <c r="S37" s="257"/>
      <c r="T37" s="328"/>
      <c r="U37" s="327">
        <f t="shared" si="14"/>
        <v>0</v>
      </c>
      <c r="V37" s="260"/>
      <c r="W37" s="257"/>
      <c r="X37" s="258"/>
      <c r="Y37" s="327">
        <f t="shared" si="15"/>
        <v>0</v>
      </c>
      <c r="Z37" s="260"/>
      <c r="AA37" s="257"/>
      <c r="AB37" s="258"/>
      <c r="AC37" s="259">
        <f t="shared" si="32"/>
        <v>0</v>
      </c>
      <c r="AD37" s="328"/>
      <c r="AE37" s="363"/>
      <c r="AF37" s="1265"/>
      <c r="AG37" s="327">
        <f t="shared" si="33"/>
        <v>0</v>
      </c>
      <c r="AH37" s="328"/>
      <c r="AI37" s="245">
        <f>'[1]затраты вспом.'!AI37</f>
        <v>0</v>
      </c>
      <c r="AJ37" s="2239">
        <f>'[1]затраты вспом.'!AJ37+'[2]затраты вспом.'!AJ37</f>
        <v>213</v>
      </c>
      <c r="AK37" s="259">
        <f t="shared" si="34"/>
        <v>213</v>
      </c>
      <c r="AL37" s="2239">
        <f>'[1]затраты вспом.'!AL37+'[2]затраты вспом.'!AL37</f>
        <v>0</v>
      </c>
      <c r="AM37" s="2239">
        <f>'[1]затраты вспом.'!AM37+'[2]затраты вспом.'!AM37</f>
        <v>0</v>
      </c>
      <c r="AN37" s="327">
        <f t="shared" si="35"/>
        <v>213</v>
      </c>
    </row>
    <row r="38" spans="1:40" s="226" customFormat="1" ht="9.75" customHeight="1">
      <c r="A38" s="972" t="s">
        <v>86</v>
      </c>
      <c r="B38" s="240"/>
      <c r="C38" s="245"/>
      <c r="D38" s="245"/>
      <c r="E38" s="245"/>
      <c r="F38" s="245"/>
      <c r="G38" s="246"/>
      <c r="H38" s="394">
        <f t="shared" si="2"/>
        <v>0</v>
      </c>
      <c r="I38" s="240"/>
      <c r="J38" s="245"/>
      <c r="K38" s="243"/>
      <c r="L38" s="244"/>
      <c r="M38" s="240">
        <f t="shared" si="31"/>
        <v>0</v>
      </c>
      <c r="N38" s="246"/>
      <c r="O38" s="243"/>
      <c r="P38" s="244"/>
      <c r="Q38" s="241">
        <f t="shared" si="12"/>
        <v>0</v>
      </c>
      <c r="R38" s="246"/>
      <c r="S38" s="243"/>
      <c r="T38" s="246"/>
      <c r="U38" s="241">
        <f t="shared" si="14"/>
        <v>0</v>
      </c>
      <c r="V38" s="245"/>
      <c r="W38" s="243"/>
      <c r="X38" s="244"/>
      <c r="Y38" s="241">
        <f t="shared" si="15"/>
        <v>0</v>
      </c>
      <c r="Z38" s="245"/>
      <c r="AA38" s="243"/>
      <c r="AB38" s="244"/>
      <c r="AC38" s="240">
        <f t="shared" si="32"/>
        <v>0</v>
      </c>
      <c r="AD38" s="246"/>
      <c r="AE38" s="361"/>
      <c r="AF38" s="1262"/>
      <c r="AG38" s="241">
        <f t="shared" si="33"/>
        <v>0</v>
      </c>
      <c r="AH38" s="246"/>
      <c r="AI38" s="245">
        <f>'[1]затраты вспом.'!AI38</f>
        <v>0</v>
      </c>
      <c r="AJ38" s="2239">
        <f>'[1]затраты вспом.'!AJ38+'[2]затраты вспом.'!AJ38</f>
        <v>0</v>
      </c>
      <c r="AK38" s="240">
        <f t="shared" si="34"/>
        <v>0</v>
      </c>
      <c r="AL38" s="2239">
        <f>'[1]затраты вспом.'!AL38+'[2]затраты вспом.'!AL38</f>
        <v>0</v>
      </c>
      <c r="AM38" s="2239">
        <f>'[1]затраты вспом.'!AM38+'[2]затраты вспом.'!AM38</f>
        <v>3843</v>
      </c>
      <c r="AN38" s="241">
        <f t="shared" si="35"/>
        <v>3843</v>
      </c>
    </row>
    <row r="39" spans="1:40" s="226" customFormat="1" ht="9.75" customHeight="1">
      <c r="A39" s="972" t="s">
        <v>87</v>
      </c>
      <c r="B39" s="240"/>
      <c r="C39" s="245"/>
      <c r="D39" s="245"/>
      <c r="E39" s="245"/>
      <c r="F39" s="245"/>
      <c r="G39" s="246"/>
      <c r="H39" s="394">
        <f t="shared" si="2"/>
        <v>0</v>
      </c>
      <c r="I39" s="240"/>
      <c r="J39" s="245"/>
      <c r="K39" s="243"/>
      <c r="L39" s="244"/>
      <c r="M39" s="240">
        <f t="shared" si="31"/>
        <v>0</v>
      </c>
      <c r="N39" s="246"/>
      <c r="O39" s="243"/>
      <c r="P39" s="244"/>
      <c r="Q39" s="241">
        <f t="shared" si="12"/>
        <v>0</v>
      </c>
      <c r="R39" s="246"/>
      <c r="S39" s="243"/>
      <c r="T39" s="246"/>
      <c r="U39" s="241">
        <f t="shared" si="14"/>
        <v>0</v>
      </c>
      <c r="V39" s="245"/>
      <c r="W39" s="243"/>
      <c r="X39" s="244"/>
      <c r="Y39" s="241">
        <f t="shared" si="15"/>
        <v>0</v>
      </c>
      <c r="Z39" s="245"/>
      <c r="AA39" s="243"/>
      <c r="AB39" s="244"/>
      <c r="AC39" s="240">
        <f t="shared" si="32"/>
        <v>0</v>
      </c>
      <c r="AD39" s="246"/>
      <c r="AE39" s="361"/>
      <c r="AF39" s="1262"/>
      <c r="AG39" s="241">
        <f t="shared" si="33"/>
        <v>0</v>
      </c>
      <c r="AH39" s="246"/>
      <c r="AI39" s="245">
        <f>'[1]затраты вспом.'!AI39</f>
        <v>0</v>
      </c>
      <c r="AJ39" s="2239">
        <f>'[1]затраты вспом.'!AJ39+'[2]затраты вспом.'!AJ39</f>
        <v>0</v>
      </c>
      <c r="AK39" s="240">
        <f t="shared" si="34"/>
        <v>0</v>
      </c>
      <c r="AL39" s="2239">
        <f>'[1]затраты вспом.'!AL39+'[2]затраты вспом.'!AL39</f>
        <v>0</v>
      </c>
      <c r="AM39" s="2239">
        <f>'[1]затраты вспом.'!AM39+'[2]затраты вспом.'!AM39</f>
        <v>0</v>
      </c>
      <c r="AN39" s="241">
        <f t="shared" si="35"/>
        <v>0</v>
      </c>
    </row>
    <row r="40" spans="1:40" s="228" customFormat="1" ht="9.75" customHeight="1" thickBot="1">
      <c r="A40" s="973" t="s">
        <v>88</v>
      </c>
      <c r="B40" s="2239">
        <f>'[1]затраты вспом.'!B40+'[2]затраты вспом.'!B40</f>
        <v>60</v>
      </c>
      <c r="C40" s="336"/>
      <c r="D40" s="336"/>
      <c r="E40" s="336"/>
      <c r="F40" s="336"/>
      <c r="G40" s="337"/>
      <c r="H40" s="396">
        <f t="shared" si="2"/>
        <v>0</v>
      </c>
      <c r="I40" s="240">
        <f>'[1]затраты вспом.'!I40</f>
        <v>0</v>
      </c>
      <c r="J40" s="336"/>
      <c r="K40" s="269"/>
      <c r="L40" s="338"/>
      <c r="M40" s="271">
        <f t="shared" si="31"/>
        <v>0</v>
      </c>
      <c r="N40" s="337"/>
      <c r="O40" s="268"/>
      <c r="P40" s="270"/>
      <c r="Q40" s="339">
        <f t="shared" si="12"/>
        <v>0</v>
      </c>
      <c r="R40" s="2239">
        <f>'[1]затраты вспом.'!R40+'[2]затраты вспом.'!R40</f>
        <v>40</v>
      </c>
      <c r="S40" s="269"/>
      <c r="T40" s="337"/>
      <c r="U40" s="339">
        <f t="shared" si="14"/>
        <v>40</v>
      </c>
      <c r="V40" s="336"/>
      <c r="W40" s="269"/>
      <c r="X40" s="338"/>
      <c r="Y40" s="339">
        <f t="shared" si="15"/>
        <v>0</v>
      </c>
      <c r="Z40" s="336"/>
      <c r="AA40" s="269"/>
      <c r="AB40" s="338"/>
      <c r="AC40" s="240">
        <f t="shared" si="32"/>
        <v>100</v>
      </c>
      <c r="AD40" s="337"/>
      <c r="AE40" s="366"/>
      <c r="AF40" s="1266"/>
      <c r="AG40" s="241">
        <f t="shared" si="33"/>
        <v>0</v>
      </c>
      <c r="AH40" s="337"/>
      <c r="AI40" s="245">
        <f>'[1]затраты вспом.'!AI40</f>
        <v>0</v>
      </c>
      <c r="AJ40" s="2239">
        <f>'[1]затраты вспом.'!AJ40+'[2]затраты вспом.'!AJ40</f>
        <v>0</v>
      </c>
      <c r="AK40" s="240">
        <f t="shared" si="34"/>
        <v>0</v>
      </c>
      <c r="AL40" s="2239">
        <f>'[1]затраты вспом.'!AL40+'[2]затраты вспом.'!AL40</f>
        <v>0</v>
      </c>
      <c r="AM40" s="2239">
        <f>'[1]затраты вспом.'!AM40+'[2]затраты вспом.'!AM40</f>
        <v>0</v>
      </c>
      <c r="AN40" s="339">
        <f t="shared" si="35"/>
        <v>100</v>
      </c>
    </row>
    <row r="41" spans="1:40" s="226" customFormat="1" ht="12" customHeight="1" thickBot="1">
      <c r="A41" s="974" t="s">
        <v>18</v>
      </c>
      <c r="B41" s="254">
        <f t="shared" ref="B41:AN41" si="36">B5+B23+B24+B25+B26+B30</f>
        <v>8073.3846600000006</v>
      </c>
      <c r="C41" s="354">
        <f t="shared" si="36"/>
        <v>0</v>
      </c>
      <c r="D41" s="340">
        <f t="shared" si="36"/>
        <v>0</v>
      </c>
      <c r="E41" s="340">
        <f t="shared" si="36"/>
        <v>0</v>
      </c>
      <c r="F41" s="340">
        <f t="shared" si="36"/>
        <v>0</v>
      </c>
      <c r="G41" s="350">
        <f t="shared" si="36"/>
        <v>0</v>
      </c>
      <c r="H41" s="254">
        <f t="shared" si="36"/>
        <v>0</v>
      </c>
      <c r="I41" s="254">
        <f t="shared" si="36"/>
        <v>17530.674759999998</v>
      </c>
      <c r="J41" s="335">
        <f t="shared" si="36"/>
        <v>20617.152506666665</v>
      </c>
      <c r="K41" s="253">
        <f t="shared" si="36"/>
        <v>2095.1214161333337</v>
      </c>
      <c r="L41" s="253">
        <f t="shared" si="36"/>
        <v>974.47567093333328</v>
      </c>
      <c r="M41" s="254">
        <f t="shared" si="36"/>
        <v>23685.678593733337</v>
      </c>
      <c r="N41" s="255">
        <f t="shared" si="36"/>
        <v>39364.392719999996</v>
      </c>
      <c r="O41" s="340">
        <f t="shared" si="36"/>
        <v>8296.8317000000006</v>
      </c>
      <c r="P41" s="350">
        <f t="shared" si="36"/>
        <v>6150.7726400000001</v>
      </c>
      <c r="Q41" s="254">
        <f t="shared" si="36"/>
        <v>53811.997060000002</v>
      </c>
      <c r="R41" s="255">
        <f t="shared" si="36"/>
        <v>2645.93408</v>
      </c>
      <c r="S41" s="340">
        <f t="shared" si="36"/>
        <v>507.52544</v>
      </c>
      <c r="T41" s="255">
        <f t="shared" si="36"/>
        <v>484.81744000000003</v>
      </c>
      <c r="U41" s="254">
        <f t="shared" si="36"/>
        <v>3638.2769600000001</v>
      </c>
      <c r="V41" s="354">
        <f t="shared" si="36"/>
        <v>9602.9986799999988</v>
      </c>
      <c r="W41" s="340">
        <f t="shared" si="36"/>
        <v>2791.8890000000001</v>
      </c>
      <c r="X41" s="350">
        <f t="shared" si="36"/>
        <v>1374.2</v>
      </c>
      <c r="Y41" s="254">
        <f t="shared" si="36"/>
        <v>13769.087680000001</v>
      </c>
      <c r="Z41" s="255">
        <f t="shared" si="36"/>
        <v>2343.06052</v>
      </c>
      <c r="AA41" s="252">
        <f t="shared" si="36"/>
        <v>1376.3600000000001</v>
      </c>
      <c r="AB41" s="252">
        <f t="shared" si="36"/>
        <v>2129.652</v>
      </c>
      <c r="AC41" s="254">
        <f>AC5+AC23+AC24+AC25+AC26+AC30</f>
        <v>126358.17223373333</v>
      </c>
      <c r="AD41" s="255">
        <f t="shared" si="36"/>
        <v>1728.3733333333332</v>
      </c>
      <c r="AE41" s="367">
        <f t="shared" si="36"/>
        <v>22380.194759999998</v>
      </c>
      <c r="AF41" s="1267">
        <f t="shared" si="36"/>
        <v>13516.367460000001</v>
      </c>
      <c r="AG41" s="254">
        <f t="shared" si="36"/>
        <v>37624.935553333336</v>
      </c>
      <c r="AH41" s="347">
        <f t="shared" si="36"/>
        <v>4005.5303776000001</v>
      </c>
      <c r="AI41" s="347">
        <f t="shared" si="36"/>
        <v>9278.3110799999995</v>
      </c>
      <c r="AJ41" s="347">
        <f t="shared" si="36"/>
        <v>24013.482900000003</v>
      </c>
      <c r="AK41" s="254">
        <f t="shared" si="36"/>
        <v>37297.324357600002</v>
      </c>
      <c r="AL41" s="254">
        <f t="shared" si="36"/>
        <v>6544.7460799999999</v>
      </c>
      <c r="AM41" s="255">
        <f t="shared" si="36"/>
        <v>51624.567580000003</v>
      </c>
      <c r="AN41" s="254">
        <f t="shared" si="36"/>
        <v>259449.74580466666</v>
      </c>
    </row>
    <row r="42" spans="1:40" s="226" customFormat="1" ht="12.75" customHeight="1" thickBot="1">
      <c r="A42" s="975" t="s">
        <v>381</v>
      </c>
      <c r="B42" s="385">
        <f t="shared" ref="B42:AG42" si="37">SUM(B43:B52)</f>
        <v>2035.487870936978</v>
      </c>
      <c r="C42" s="386">
        <f t="shared" si="37"/>
        <v>0</v>
      </c>
      <c r="D42" s="387">
        <f t="shared" si="37"/>
        <v>0</v>
      </c>
      <c r="E42" s="387">
        <f t="shared" si="37"/>
        <v>0</v>
      </c>
      <c r="F42" s="387">
        <f t="shared" si="37"/>
        <v>0</v>
      </c>
      <c r="G42" s="387">
        <f t="shared" si="37"/>
        <v>0</v>
      </c>
      <c r="H42" s="385">
        <f t="shared" si="37"/>
        <v>0</v>
      </c>
      <c r="I42" s="385">
        <f t="shared" si="37"/>
        <v>1527.8704566895865</v>
      </c>
      <c r="J42" s="386">
        <f t="shared" si="37"/>
        <v>2533.4267260405222</v>
      </c>
      <c r="K42" s="387">
        <f t="shared" si="37"/>
        <v>0</v>
      </c>
      <c r="L42" s="387">
        <f t="shared" si="37"/>
        <v>0</v>
      </c>
      <c r="M42" s="385">
        <f t="shared" si="37"/>
        <v>2533.4267260405222</v>
      </c>
      <c r="N42" s="386">
        <f t="shared" si="37"/>
        <v>97.344384155696218</v>
      </c>
      <c r="O42" s="387">
        <f t="shared" si="37"/>
        <v>0</v>
      </c>
      <c r="P42" s="387">
        <f t="shared" si="37"/>
        <v>0</v>
      </c>
      <c r="Q42" s="385">
        <f t="shared" si="37"/>
        <v>97.344384155696218</v>
      </c>
      <c r="R42" s="386">
        <f t="shared" si="37"/>
        <v>2082.3631064949341</v>
      </c>
      <c r="S42" s="388">
        <f t="shared" si="37"/>
        <v>0</v>
      </c>
      <c r="T42" s="386">
        <f t="shared" si="37"/>
        <v>0</v>
      </c>
      <c r="U42" s="385">
        <f t="shared" si="37"/>
        <v>2082.3631064949341</v>
      </c>
      <c r="V42" s="386">
        <f t="shared" si="37"/>
        <v>1428.2844414156496</v>
      </c>
      <c r="W42" s="387">
        <f t="shared" si="37"/>
        <v>0</v>
      </c>
      <c r="X42" s="387">
        <f t="shared" si="37"/>
        <v>0</v>
      </c>
      <c r="Y42" s="385">
        <f t="shared" si="37"/>
        <v>1428.2844414156496</v>
      </c>
      <c r="Z42" s="386">
        <f t="shared" si="37"/>
        <v>1243.255829999277</v>
      </c>
      <c r="AA42" s="387">
        <f t="shared" si="37"/>
        <v>106.67684072174455</v>
      </c>
      <c r="AB42" s="387">
        <f t="shared" si="37"/>
        <v>1102.8680673442673</v>
      </c>
      <c r="AC42" s="387">
        <f t="shared" si="37"/>
        <v>12157.577723798655</v>
      </c>
      <c r="AD42" s="387">
        <f t="shared" si="37"/>
        <v>6041.6410747960026</v>
      </c>
      <c r="AE42" s="389">
        <f t="shared" si="37"/>
        <v>839.70447369497947</v>
      </c>
      <c r="AF42" s="390">
        <f t="shared" si="37"/>
        <v>2443.5974195360891</v>
      </c>
      <c r="AG42" s="385">
        <f t="shared" si="37"/>
        <v>9324.9429680270696</v>
      </c>
      <c r="AH42" s="407"/>
      <c r="AI42" s="408"/>
      <c r="AJ42" s="409"/>
      <c r="AK42" s="391">
        <f>SUM(AK43:AK52)</f>
        <v>9768.0106579660514</v>
      </c>
      <c r="AL42" s="385">
        <f>SUM(AL43:AL52)</f>
        <v>640.06545714004062</v>
      </c>
      <c r="AM42" s="386">
        <f>SUM(AM43:AM52)</f>
        <v>5142.9484107388289</v>
      </c>
      <c r="AN42" s="390">
        <f>SUM(AN43:AN52)</f>
        <v>37033.545217670639</v>
      </c>
    </row>
    <row r="43" spans="1:40" s="226" customFormat="1" ht="9.75" customHeight="1">
      <c r="A43" s="370" t="s">
        <v>382</v>
      </c>
      <c r="B43" s="327">
        <f>B91</f>
        <v>0</v>
      </c>
      <c r="C43" s="265"/>
      <c r="D43" s="265"/>
      <c r="E43" s="265"/>
      <c r="F43" s="265"/>
      <c r="G43" s="277"/>
      <c r="H43" s="397">
        <f>B97</f>
        <v>0</v>
      </c>
      <c r="I43" s="327">
        <f>B98</f>
        <v>1130.3642161092548</v>
      </c>
      <c r="J43" s="265">
        <f>B99</f>
        <v>1409.3651841507406</v>
      </c>
      <c r="K43" s="266">
        <f>B100</f>
        <v>0</v>
      </c>
      <c r="L43" s="267">
        <f>B101</f>
        <v>0</v>
      </c>
      <c r="M43" s="327">
        <f>B102</f>
        <v>1409.3651841507406</v>
      </c>
      <c r="N43" s="277">
        <f>B103</f>
        <v>0</v>
      </c>
      <c r="O43" s="266"/>
      <c r="P43" s="267"/>
      <c r="Q43" s="241">
        <f t="shared" ref="Q43:Q52" si="38">SUM(N43:P43)</f>
        <v>0</v>
      </c>
      <c r="R43" s="277">
        <f>B104</f>
        <v>103</v>
      </c>
      <c r="S43" s="266"/>
      <c r="T43" s="277"/>
      <c r="U43" s="241">
        <f t="shared" ref="U43:U52" si="39">SUM(R43:T43)</f>
        <v>103</v>
      </c>
      <c r="V43" s="265">
        <f>B105</f>
        <v>0</v>
      </c>
      <c r="W43" s="266"/>
      <c r="X43" s="267"/>
      <c r="Y43" s="327">
        <f>B105</f>
        <v>0</v>
      </c>
      <c r="Z43" s="265">
        <f>B106</f>
        <v>102</v>
      </c>
      <c r="AA43" s="266">
        <f>B107</f>
        <v>106.67684072174455</v>
      </c>
      <c r="AB43" s="267">
        <f>B108</f>
        <v>285.15540116004797</v>
      </c>
      <c r="AC43" s="240">
        <f t="shared" ref="AC43:AC52" si="40">B43+H43+I43+M43+Q43+U43+Y43+Z43+AA43+AB43</f>
        <v>3136.5616421417881</v>
      </c>
      <c r="AD43" s="277">
        <f>B110</f>
        <v>915.39560877385668</v>
      </c>
      <c r="AE43" s="384">
        <f>B111</f>
        <v>268.60039394302248</v>
      </c>
      <c r="AF43" s="1268">
        <f>B112</f>
        <v>10.691860341421281</v>
      </c>
      <c r="AG43" s="241">
        <f t="shared" ref="AG43:AG52" si="41">SUM(AD43:AF43)</f>
        <v>1194.6878630583003</v>
      </c>
      <c r="AH43" s="404"/>
      <c r="AI43" s="405"/>
      <c r="AJ43" s="406"/>
      <c r="AK43" s="345">
        <f>B113</f>
        <v>34.875121005185726</v>
      </c>
      <c r="AL43" s="327">
        <f>B114</f>
        <v>0</v>
      </c>
      <c r="AM43" s="265">
        <f>B115</f>
        <v>633.9066112119051</v>
      </c>
      <c r="AN43" s="241">
        <f t="shared" ref="AN43:AN53" si="42">AC43+AG43+AK43+AL43+AM43</f>
        <v>5000.0312374171799</v>
      </c>
    </row>
    <row r="44" spans="1:40" s="226" customFormat="1" ht="9.75" customHeight="1">
      <c r="A44" s="976" t="s">
        <v>383</v>
      </c>
      <c r="B44" s="259">
        <f>H91</f>
        <v>0</v>
      </c>
      <c r="C44" s="260"/>
      <c r="D44" s="260"/>
      <c r="E44" s="260"/>
      <c r="F44" s="260"/>
      <c r="G44" s="328"/>
      <c r="H44" s="395">
        <f>H97</f>
        <v>0</v>
      </c>
      <c r="I44" s="259">
        <f>H98</f>
        <v>0</v>
      </c>
      <c r="J44" s="260">
        <f>H99</f>
        <v>0</v>
      </c>
      <c r="K44" s="257">
        <f>H100</f>
        <v>0</v>
      </c>
      <c r="L44" s="258">
        <f>H101</f>
        <v>0</v>
      </c>
      <c r="M44" s="259">
        <f>H102</f>
        <v>0</v>
      </c>
      <c r="N44" s="328">
        <f>H103</f>
        <v>0</v>
      </c>
      <c r="O44" s="257"/>
      <c r="P44" s="258"/>
      <c r="Q44" s="241">
        <f t="shared" si="38"/>
        <v>0</v>
      </c>
      <c r="R44" s="328">
        <f>H104</f>
        <v>0</v>
      </c>
      <c r="S44" s="257"/>
      <c r="T44" s="328"/>
      <c r="U44" s="241">
        <f t="shared" si="39"/>
        <v>0</v>
      </c>
      <c r="V44" s="260">
        <f>H105</f>
        <v>0</v>
      </c>
      <c r="W44" s="257"/>
      <c r="X44" s="258"/>
      <c r="Y44" s="259">
        <f>H105</f>
        <v>0</v>
      </c>
      <c r="Z44" s="260">
        <f>H106</f>
        <v>0</v>
      </c>
      <c r="AA44" s="257">
        <f>H107</f>
        <v>0</v>
      </c>
      <c r="AB44" s="258">
        <f>H108</f>
        <v>0</v>
      </c>
      <c r="AC44" s="240">
        <f t="shared" si="40"/>
        <v>0</v>
      </c>
      <c r="AD44" s="328">
        <f>H110</f>
        <v>0</v>
      </c>
      <c r="AE44" s="363">
        <f>H111</f>
        <v>0</v>
      </c>
      <c r="AF44" s="1265">
        <f>H112</f>
        <v>0</v>
      </c>
      <c r="AG44" s="241">
        <f t="shared" si="41"/>
        <v>0</v>
      </c>
      <c r="AH44" s="404"/>
      <c r="AI44" s="405"/>
      <c r="AJ44" s="406"/>
      <c r="AK44" s="377">
        <f>H113</f>
        <v>0</v>
      </c>
      <c r="AL44" s="259">
        <f>H114</f>
        <v>0</v>
      </c>
      <c r="AM44" s="260">
        <f>H115</f>
        <v>0</v>
      </c>
      <c r="AN44" s="241">
        <f t="shared" si="42"/>
        <v>0</v>
      </c>
    </row>
    <row r="45" spans="1:40" s="226" customFormat="1" ht="9.75" customHeight="1">
      <c r="A45" s="976" t="s">
        <v>384</v>
      </c>
      <c r="B45" s="259">
        <f>I91</f>
        <v>45</v>
      </c>
      <c r="C45" s="328"/>
      <c r="D45" s="260"/>
      <c r="E45" s="260"/>
      <c r="F45" s="260"/>
      <c r="G45" s="328"/>
      <c r="H45" s="395">
        <f>I97</f>
        <v>0</v>
      </c>
      <c r="I45" s="259">
        <f>I98</f>
        <v>0</v>
      </c>
      <c r="J45" s="260">
        <f>I99</f>
        <v>153.04505219184776</v>
      </c>
      <c r="K45" s="257">
        <f>I100</f>
        <v>0</v>
      </c>
      <c r="L45" s="258">
        <f>I101</f>
        <v>0</v>
      </c>
      <c r="M45" s="259">
        <f>I102</f>
        <v>153.04505219184776</v>
      </c>
      <c r="N45" s="328">
        <f>I103</f>
        <v>5.8118374250068756</v>
      </c>
      <c r="O45" s="257"/>
      <c r="P45" s="258"/>
      <c r="Q45" s="241">
        <f t="shared" si="38"/>
        <v>5.8118374250068756</v>
      </c>
      <c r="R45" s="328">
        <f>I104</f>
        <v>105</v>
      </c>
      <c r="S45" s="257"/>
      <c r="T45" s="328"/>
      <c r="U45" s="241">
        <f t="shared" si="39"/>
        <v>105</v>
      </c>
      <c r="V45" s="260">
        <f>I105</f>
        <v>19.372791416689587</v>
      </c>
      <c r="W45" s="257"/>
      <c r="X45" s="258"/>
      <c r="Y45" s="259">
        <f>I105</f>
        <v>19.372791416689587</v>
      </c>
      <c r="Z45" s="260">
        <f>I106</f>
        <v>175</v>
      </c>
      <c r="AA45" s="257">
        <f>I107</f>
        <v>0</v>
      </c>
      <c r="AB45" s="258">
        <f>I108</f>
        <v>317.7137792337092</v>
      </c>
      <c r="AC45" s="240">
        <f t="shared" si="40"/>
        <v>820.94346026725339</v>
      </c>
      <c r="AD45" s="328">
        <f>I110</f>
        <v>5060.2303823971852</v>
      </c>
      <c r="AE45" s="363">
        <f>I111</f>
        <v>439.76236515885364</v>
      </c>
      <c r="AF45" s="1265">
        <f>I112</f>
        <v>1534.3250802018151</v>
      </c>
      <c r="AG45" s="241">
        <f t="shared" si="41"/>
        <v>7034.3178277578536</v>
      </c>
      <c r="AH45" s="404"/>
      <c r="AI45" s="405"/>
      <c r="AJ45" s="406"/>
      <c r="AK45" s="377">
        <f>I113</f>
        <v>350.64752464208158</v>
      </c>
      <c r="AL45" s="259">
        <f>I114</f>
        <v>0</v>
      </c>
      <c r="AM45" s="260">
        <f>I115</f>
        <v>581.18374250068757</v>
      </c>
      <c r="AN45" s="241">
        <f t="shared" si="42"/>
        <v>8787.0925551678756</v>
      </c>
    </row>
    <row r="46" spans="1:40" s="226" customFormat="1" ht="9.75" customHeight="1">
      <c r="A46" s="976" t="s">
        <v>385</v>
      </c>
      <c r="B46" s="259">
        <f>M91</f>
        <v>0</v>
      </c>
      <c r="C46" s="260"/>
      <c r="D46" s="260"/>
      <c r="E46" s="260"/>
      <c r="F46" s="260"/>
      <c r="G46" s="328"/>
      <c r="H46" s="395">
        <f>M97</f>
        <v>0</v>
      </c>
      <c r="I46" s="259">
        <f>M98</f>
        <v>19.906182848106667</v>
      </c>
      <c r="J46" s="260">
        <f>M99</f>
        <v>119.25438411882666</v>
      </c>
      <c r="K46" s="257">
        <f>M100</f>
        <v>0</v>
      </c>
      <c r="L46" s="258">
        <f>M101</f>
        <v>0</v>
      </c>
      <c r="M46" s="259">
        <f>M102</f>
        <v>119.25438411882666</v>
      </c>
      <c r="N46" s="328">
        <f>M103</f>
        <v>9.173414162986667</v>
      </c>
      <c r="O46" s="257"/>
      <c r="P46" s="258"/>
      <c r="Q46" s="241">
        <f t="shared" si="38"/>
        <v>9.173414162986667</v>
      </c>
      <c r="R46" s="328">
        <f>M104</f>
        <v>366.37721199733335</v>
      </c>
      <c r="S46" s="257"/>
      <c r="T46" s="328"/>
      <c r="U46" s="241">
        <f t="shared" si="39"/>
        <v>366.37721199733335</v>
      </c>
      <c r="V46" s="260">
        <f>M105</f>
        <v>0</v>
      </c>
      <c r="W46" s="257"/>
      <c r="X46" s="258"/>
      <c r="Y46" s="259">
        <f>M105</f>
        <v>0</v>
      </c>
      <c r="Z46" s="260">
        <f>M106</f>
        <v>0</v>
      </c>
      <c r="AA46" s="257">
        <f>M107</f>
        <v>0</v>
      </c>
      <c r="AB46" s="258">
        <f>M108</f>
        <v>0</v>
      </c>
      <c r="AC46" s="240">
        <f t="shared" si="40"/>
        <v>514.71119312725341</v>
      </c>
      <c r="AD46" s="328">
        <f>M110</f>
        <v>66.015083624959999</v>
      </c>
      <c r="AE46" s="363">
        <f>M111</f>
        <v>0</v>
      </c>
      <c r="AF46" s="1265">
        <f>M112</f>
        <v>890.98290728006748</v>
      </c>
      <c r="AG46" s="241">
        <f t="shared" si="41"/>
        <v>956.99799090502745</v>
      </c>
      <c r="AH46" s="404"/>
      <c r="AI46" s="405"/>
      <c r="AJ46" s="406"/>
      <c r="AK46" s="377">
        <f>M113</f>
        <v>3941.0093303335207</v>
      </c>
      <c r="AL46" s="259">
        <f>M114</f>
        <v>25.688441877436645</v>
      </c>
      <c r="AM46" s="260">
        <f>M115</f>
        <v>3295.066837767467</v>
      </c>
      <c r="AN46" s="241">
        <f t="shared" si="42"/>
        <v>8733.4737940107061</v>
      </c>
    </row>
    <row r="47" spans="1:40" s="226" customFormat="1" ht="9.75" customHeight="1">
      <c r="A47" s="976" t="s">
        <v>386</v>
      </c>
      <c r="B47" s="259">
        <f>Q91</f>
        <v>1974.6465899985305</v>
      </c>
      <c r="C47" s="260"/>
      <c r="D47" s="260"/>
      <c r="E47" s="260"/>
      <c r="F47" s="260"/>
      <c r="G47" s="328"/>
      <c r="H47" s="395">
        <f>Q97</f>
        <v>0</v>
      </c>
      <c r="I47" s="259">
        <f>Q98</f>
        <v>276.96882999977669</v>
      </c>
      <c r="J47" s="260">
        <f>Q99</f>
        <v>567.7336999995689</v>
      </c>
      <c r="K47" s="257">
        <f>Q100</f>
        <v>0</v>
      </c>
      <c r="L47" s="258">
        <f>Q101</f>
        <v>0</v>
      </c>
      <c r="M47" s="259">
        <f>Q102</f>
        <v>567.7336999995689</v>
      </c>
      <c r="N47" s="328">
        <f>N103</f>
        <v>0</v>
      </c>
      <c r="O47" s="257"/>
      <c r="P47" s="258"/>
      <c r="Q47" s="241">
        <f t="shared" si="38"/>
        <v>0</v>
      </c>
      <c r="R47" s="328">
        <f>N104</f>
        <v>1384.0541199989616</v>
      </c>
      <c r="S47" s="257"/>
      <c r="T47" s="328"/>
      <c r="U47" s="241">
        <f t="shared" si="39"/>
        <v>1384.0541199989616</v>
      </c>
      <c r="V47" s="260">
        <f>N105</f>
        <v>1408.91164999896</v>
      </c>
      <c r="W47" s="257"/>
      <c r="X47" s="258"/>
      <c r="Y47" s="259">
        <f>Q105</f>
        <v>1408.91164999896</v>
      </c>
      <c r="Z47" s="260">
        <f>Q106</f>
        <v>966.25582999927701</v>
      </c>
      <c r="AA47" s="257">
        <f>Q107</f>
        <v>0</v>
      </c>
      <c r="AB47" s="258">
        <f>Q108</f>
        <v>24.985759999980193</v>
      </c>
      <c r="AC47" s="240">
        <f t="shared" si="40"/>
        <v>6603.5564799950553</v>
      </c>
      <c r="AD47" s="328">
        <f>Q110</f>
        <v>0</v>
      </c>
      <c r="AE47" s="363">
        <f>Q111</f>
        <v>0</v>
      </c>
      <c r="AF47" s="1265">
        <f>Q112</f>
        <v>0</v>
      </c>
      <c r="AG47" s="241">
        <f t="shared" si="41"/>
        <v>0</v>
      </c>
      <c r="AH47" s="404"/>
      <c r="AI47" s="405"/>
      <c r="AJ47" s="406"/>
      <c r="AK47" s="377">
        <f>Q113</f>
        <v>4782.9790899964391</v>
      </c>
      <c r="AL47" s="259">
        <f>Q114</f>
        <v>279.33528999979967</v>
      </c>
      <c r="AM47" s="260">
        <f>Q115</f>
        <v>385.13458999971101</v>
      </c>
      <c r="AN47" s="241">
        <f t="shared" si="42"/>
        <v>12051.005449991004</v>
      </c>
    </row>
    <row r="48" spans="1:40" s="226" customFormat="1" ht="9.75" customHeight="1">
      <c r="A48" s="976" t="s">
        <v>387</v>
      </c>
      <c r="B48" s="259">
        <f>U91</f>
        <v>9.3791271697820413</v>
      </c>
      <c r="C48" s="260"/>
      <c r="D48" s="260"/>
      <c r="E48" s="260"/>
      <c r="F48" s="260"/>
      <c r="G48" s="328"/>
      <c r="H48" s="395">
        <f>U97</f>
        <v>0</v>
      </c>
      <c r="I48" s="259">
        <f>U98</f>
        <v>55.606962376790598</v>
      </c>
      <c r="J48" s="260">
        <f>U99</f>
        <v>54.236040903528192</v>
      </c>
      <c r="K48" s="257">
        <f>U100</f>
        <v>0</v>
      </c>
      <c r="L48" s="258">
        <f>U101</f>
        <v>0</v>
      </c>
      <c r="M48" s="259">
        <f>U102</f>
        <v>54.236040903528192</v>
      </c>
      <c r="N48" s="328">
        <f>R103</f>
        <v>3.7832616350626145</v>
      </c>
      <c r="O48" s="257"/>
      <c r="P48" s="258"/>
      <c r="Q48" s="241">
        <f t="shared" si="38"/>
        <v>3.7832616350626145</v>
      </c>
      <c r="R48" s="328">
        <f>R104</f>
        <v>39.42</v>
      </c>
      <c r="S48" s="257"/>
      <c r="T48" s="328"/>
      <c r="U48" s="241">
        <f t="shared" si="39"/>
        <v>39.42</v>
      </c>
      <c r="V48" s="260">
        <f>R105</f>
        <v>0</v>
      </c>
      <c r="W48" s="257"/>
      <c r="X48" s="258"/>
      <c r="Y48" s="259">
        <f>U105</f>
        <v>0</v>
      </c>
      <c r="Z48" s="260">
        <f>U106</f>
        <v>0</v>
      </c>
      <c r="AA48" s="257">
        <f>U107</f>
        <v>0</v>
      </c>
      <c r="AB48" s="258">
        <f>U108</f>
        <v>0</v>
      </c>
      <c r="AC48" s="240">
        <f t="shared" si="40"/>
        <v>162.42539208516345</v>
      </c>
      <c r="AD48" s="328">
        <f>U110</f>
        <v>0</v>
      </c>
      <c r="AE48" s="363">
        <f>U111</f>
        <v>0</v>
      </c>
      <c r="AF48" s="1265">
        <f>U112</f>
        <v>7.5975717127854399</v>
      </c>
      <c r="AG48" s="241">
        <f t="shared" si="41"/>
        <v>7.5975717127854399</v>
      </c>
      <c r="AH48" s="404"/>
      <c r="AI48" s="405"/>
      <c r="AJ48" s="406"/>
      <c r="AK48" s="377">
        <f>U113</f>
        <v>55.093100183134865</v>
      </c>
      <c r="AL48" s="259">
        <f>U114</f>
        <v>28.871713351628006</v>
      </c>
      <c r="AM48" s="260">
        <f>U115</f>
        <v>7.6046062157688343</v>
      </c>
      <c r="AN48" s="241">
        <f t="shared" si="42"/>
        <v>261.5923835484806</v>
      </c>
    </row>
    <row r="49" spans="1:41" s="226" customFormat="1" ht="9.75" customHeight="1">
      <c r="A49" s="976" t="s">
        <v>388</v>
      </c>
      <c r="B49" s="259">
        <f>Y91</f>
        <v>0</v>
      </c>
      <c r="C49" s="260"/>
      <c r="D49" s="260"/>
      <c r="E49" s="260"/>
      <c r="F49" s="260"/>
      <c r="G49" s="328"/>
      <c r="H49" s="395">
        <f>Y97</f>
        <v>0</v>
      </c>
      <c r="I49" s="259">
        <f>Y98</f>
        <v>0</v>
      </c>
      <c r="J49" s="260">
        <f>Y99</f>
        <v>190.20483400301805</v>
      </c>
      <c r="K49" s="257">
        <f>Y100</f>
        <v>0</v>
      </c>
      <c r="L49" s="258">
        <f>Y101</f>
        <v>0</v>
      </c>
      <c r="M49" s="259">
        <f>Y102</f>
        <v>190.20483400301805</v>
      </c>
      <c r="N49" s="328">
        <f>V103</f>
        <v>75.705452828640631</v>
      </c>
      <c r="O49" s="257"/>
      <c r="P49" s="258"/>
      <c r="Q49" s="241">
        <f t="shared" si="38"/>
        <v>75.705452828640631</v>
      </c>
      <c r="R49" s="328">
        <f>V104</f>
        <v>75.705452828640631</v>
      </c>
      <c r="S49" s="257"/>
      <c r="T49" s="328"/>
      <c r="U49" s="241">
        <f t="shared" si="39"/>
        <v>75.705452828640631</v>
      </c>
      <c r="V49" s="260">
        <f>V105</f>
        <v>0</v>
      </c>
      <c r="W49" s="257"/>
      <c r="X49" s="258"/>
      <c r="Y49" s="259">
        <f>Y105</f>
        <v>0</v>
      </c>
      <c r="Z49" s="260">
        <f>Y106</f>
        <v>0</v>
      </c>
      <c r="AA49" s="257">
        <f>Y107</f>
        <v>0</v>
      </c>
      <c r="AB49" s="258">
        <f>Y108</f>
        <v>475.01312695052991</v>
      </c>
      <c r="AC49" s="240">
        <f t="shared" si="40"/>
        <v>816.62886661082928</v>
      </c>
      <c r="AD49" s="328">
        <f>Y110</f>
        <v>0</v>
      </c>
      <c r="AE49" s="363">
        <f>Y111</f>
        <v>131.3417145931034</v>
      </c>
      <c r="AF49" s="1265">
        <f>Y112</f>
        <v>0</v>
      </c>
      <c r="AG49" s="241">
        <f t="shared" si="41"/>
        <v>131.3417145931034</v>
      </c>
      <c r="AH49" s="404"/>
      <c r="AI49" s="405"/>
      <c r="AJ49" s="406"/>
      <c r="AK49" s="377">
        <f>Y113</f>
        <v>561.16277916469892</v>
      </c>
      <c r="AL49" s="259">
        <f>Y114</f>
        <v>276.03502949694428</v>
      </c>
      <c r="AM49" s="260">
        <f>Y115</f>
        <v>234.24768202795701</v>
      </c>
      <c r="AN49" s="241">
        <f t="shared" si="42"/>
        <v>2019.4160718935332</v>
      </c>
    </row>
    <row r="50" spans="1:41" s="226" customFormat="1" ht="9.75" customHeight="1">
      <c r="A50" s="976" t="s">
        <v>389</v>
      </c>
      <c r="B50" s="259">
        <f>Z91</f>
        <v>6.462153768665317</v>
      </c>
      <c r="C50" s="260"/>
      <c r="D50" s="260"/>
      <c r="E50" s="260"/>
      <c r="F50" s="260"/>
      <c r="G50" s="328"/>
      <c r="H50" s="395">
        <f>Z97</f>
        <v>0</v>
      </c>
      <c r="I50" s="259">
        <f>Z98</f>
        <v>45.02426535565769</v>
      </c>
      <c r="J50" s="260">
        <f>Z99</f>
        <v>39.587530672992074</v>
      </c>
      <c r="K50" s="257">
        <f>Z100</f>
        <v>0</v>
      </c>
      <c r="L50" s="258">
        <f>Z101</f>
        <v>0</v>
      </c>
      <c r="M50" s="259">
        <f>Z102</f>
        <v>39.587530672992074</v>
      </c>
      <c r="N50" s="328">
        <f>Z103</f>
        <v>2.8704181039994223</v>
      </c>
      <c r="O50" s="257"/>
      <c r="P50" s="258"/>
      <c r="Q50" s="241">
        <f t="shared" si="38"/>
        <v>2.8704181039994223</v>
      </c>
      <c r="R50" s="328">
        <f>Z104</f>
        <v>8.8063216699982139</v>
      </c>
      <c r="S50" s="257"/>
      <c r="T50" s="328"/>
      <c r="U50" s="241">
        <f t="shared" si="39"/>
        <v>8.8063216699982139</v>
      </c>
      <c r="V50" s="260">
        <f>Z105</f>
        <v>0</v>
      </c>
      <c r="W50" s="257"/>
      <c r="X50" s="258"/>
      <c r="Y50" s="259">
        <f>Z105</f>
        <v>0</v>
      </c>
      <c r="Z50" s="260">
        <f>Z106</f>
        <v>0</v>
      </c>
      <c r="AA50" s="257">
        <f>Z107</f>
        <v>0</v>
      </c>
      <c r="AB50" s="258">
        <f>Z108</f>
        <v>0</v>
      </c>
      <c r="AC50" s="240">
        <f t="shared" si="40"/>
        <v>102.75068957131272</v>
      </c>
      <c r="AD50" s="328">
        <f>Z110</f>
        <v>0</v>
      </c>
      <c r="AE50" s="363">
        <f>Z111</f>
        <v>0</v>
      </c>
      <c r="AF50" s="1265">
        <f>Z112</f>
        <v>0</v>
      </c>
      <c r="AG50" s="241">
        <f t="shared" si="41"/>
        <v>0</v>
      </c>
      <c r="AH50" s="404"/>
      <c r="AI50" s="405"/>
      <c r="AJ50" s="406"/>
      <c r="AK50" s="377">
        <f>Z113</f>
        <v>42.243712640991689</v>
      </c>
      <c r="AL50" s="259">
        <f>Z114</f>
        <v>25.536601007994548</v>
      </c>
      <c r="AM50" s="260">
        <f>Z115</f>
        <v>5.8043410153321622</v>
      </c>
      <c r="AN50" s="241">
        <f t="shared" si="42"/>
        <v>176.33534423563111</v>
      </c>
    </row>
    <row r="51" spans="1:41" s="226" customFormat="1" ht="9.75" customHeight="1">
      <c r="A51" s="976" t="s">
        <v>390</v>
      </c>
      <c r="B51" s="259">
        <f>AA91</f>
        <v>0</v>
      </c>
      <c r="C51" s="260"/>
      <c r="D51" s="260"/>
      <c r="E51" s="260"/>
      <c r="F51" s="260"/>
      <c r="G51" s="328"/>
      <c r="H51" s="395">
        <f>AA97</f>
        <v>0</v>
      </c>
      <c r="I51" s="259">
        <f>AA98</f>
        <v>0</v>
      </c>
      <c r="J51" s="260">
        <f>AA99</f>
        <v>0</v>
      </c>
      <c r="K51" s="257">
        <f>AA100</f>
        <v>0</v>
      </c>
      <c r="L51" s="258">
        <f>AA101</f>
        <v>0</v>
      </c>
      <c r="M51" s="259">
        <f>AA102</f>
        <v>0</v>
      </c>
      <c r="N51" s="328">
        <f>AA103</f>
        <v>0</v>
      </c>
      <c r="O51" s="257"/>
      <c r="P51" s="258"/>
      <c r="Q51" s="241">
        <f t="shared" si="38"/>
        <v>0</v>
      </c>
      <c r="R51" s="328">
        <f>AA104</f>
        <v>0</v>
      </c>
      <c r="S51" s="257"/>
      <c r="T51" s="328"/>
      <c r="U51" s="241">
        <f t="shared" si="39"/>
        <v>0</v>
      </c>
      <c r="V51" s="260">
        <f>AA105</f>
        <v>0</v>
      </c>
      <c r="W51" s="257"/>
      <c r="X51" s="258"/>
      <c r="Y51" s="259">
        <f>AA105</f>
        <v>0</v>
      </c>
      <c r="Z51" s="260">
        <f>AA106</f>
        <v>0</v>
      </c>
      <c r="AA51" s="257">
        <f>AA107</f>
        <v>0</v>
      </c>
      <c r="AB51" s="258">
        <f>AA108</f>
        <v>0</v>
      </c>
      <c r="AC51" s="240">
        <f t="shared" si="40"/>
        <v>0</v>
      </c>
      <c r="AD51" s="328">
        <f>AA110</f>
        <v>0</v>
      </c>
      <c r="AE51" s="363">
        <f>AA111</f>
        <v>0</v>
      </c>
      <c r="AF51" s="1265">
        <f>AA112</f>
        <v>0</v>
      </c>
      <c r="AG51" s="241">
        <f t="shared" si="41"/>
        <v>0</v>
      </c>
      <c r="AH51" s="404"/>
      <c r="AI51" s="405"/>
      <c r="AJ51" s="406"/>
      <c r="AK51" s="377">
        <f>AA113</f>
        <v>0</v>
      </c>
      <c r="AL51" s="259">
        <f>AA114</f>
        <v>4.598381406237408</v>
      </c>
      <c r="AM51" s="260">
        <f>AA115</f>
        <v>0</v>
      </c>
      <c r="AN51" s="241">
        <f t="shared" si="42"/>
        <v>4.598381406237408</v>
      </c>
    </row>
    <row r="52" spans="1:41" s="226" customFormat="1" ht="9.75" customHeight="1">
      <c r="A52" s="1388" t="s">
        <v>571</v>
      </c>
      <c r="B52" s="259">
        <f>AB91</f>
        <v>0</v>
      </c>
      <c r="C52" s="260"/>
      <c r="D52" s="260"/>
      <c r="E52" s="260"/>
      <c r="F52" s="260"/>
      <c r="G52" s="328"/>
      <c r="H52" s="395">
        <f>AB97</f>
        <v>0</v>
      </c>
      <c r="I52" s="259">
        <f>AB98</f>
        <v>0</v>
      </c>
      <c r="J52" s="260">
        <f>AB99</f>
        <v>0</v>
      </c>
      <c r="K52" s="257">
        <f>AB100</f>
        <v>0</v>
      </c>
      <c r="L52" s="258">
        <f>AB101</f>
        <v>0</v>
      </c>
      <c r="M52" s="259">
        <f>AB102</f>
        <v>0</v>
      </c>
      <c r="N52" s="328">
        <f>AB103</f>
        <v>0</v>
      </c>
      <c r="O52" s="257"/>
      <c r="P52" s="258"/>
      <c r="Q52" s="241">
        <f t="shared" si="38"/>
        <v>0</v>
      </c>
      <c r="R52" s="328">
        <f>AB104</f>
        <v>0</v>
      </c>
      <c r="S52" s="257"/>
      <c r="T52" s="328"/>
      <c r="U52" s="241">
        <f t="shared" si="39"/>
        <v>0</v>
      </c>
      <c r="V52" s="260">
        <f>AB105</f>
        <v>0</v>
      </c>
      <c r="W52" s="257"/>
      <c r="X52" s="258"/>
      <c r="Y52" s="259">
        <f>AB105</f>
        <v>0</v>
      </c>
      <c r="Z52" s="260">
        <f>AB106</f>
        <v>0</v>
      </c>
      <c r="AA52" s="257">
        <f>AB107</f>
        <v>0</v>
      </c>
      <c r="AB52" s="258">
        <f>AB108</f>
        <v>0</v>
      </c>
      <c r="AC52" s="240">
        <f t="shared" si="40"/>
        <v>0</v>
      </c>
      <c r="AD52" s="328">
        <f>AB110</f>
        <v>0</v>
      </c>
      <c r="AE52" s="363">
        <f>AB111</f>
        <v>0</v>
      </c>
      <c r="AF52" s="1265">
        <f>AB112</f>
        <v>0</v>
      </c>
      <c r="AG52" s="241">
        <f t="shared" si="41"/>
        <v>0</v>
      </c>
      <c r="AH52" s="404"/>
      <c r="AI52" s="405"/>
      <c r="AJ52" s="406"/>
      <c r="AK52" s="377">
        <f>AB113</f>
        <v>0</v>
      </c>
      <c r="AL52" s="259">
        <f>AB114</f>
        <v>0</v>
      </c>
      <c r="AM52" s="260">
        <f>AB115</f>
        <v>0</v>
      </c>
      <c r="AN52" s="240">
        <f t="shared" si="42"/>
        <v>0</v>
      </c>
    </row>
    <row r="53" spans="1:41" s="226" customFormat="1" ht="10.5" customHeight="1" thickBot="1">
      <c r="A53" s="977" t="s">
        <v>391</v>
      </c>
      <c r="B53" s="263"/>
      <c r="C53" s="261"/>
      <c r="D53" s="261"/>
      <c r="E53" s="261"/>
      <c r="F53" s="261"/>
      <c r="G53" s="262"/>
      <c r="H53" s="398"/>
      <c r="I53" s="263"/>
      <c r="J53" s="261"/>
      <c r="K53" s="261"/>
      <c r="L53" s="262"/>
      <c r="M53" s="263"/>
      <c r="N53" s="262"/>
      <c r="O53" s="355"/>
      <c r="P53" s="359"/>
      <c r="Q53" s="263"/>
      <c r="R53" s="262"/>
      <c r="S53" s="373"/>
      <c r="T53" s="262"/>
      <c r="U53" s="263"/>
      <c r="V53" s="261"/>
      <c r="W53" s="261"/>
      <c r="X53" s="262"/>
      <c r="Y53" s="263"/>
      <c r="Z53" s="261"/>
      <c r="AA53" s="261"/>
      <c r="AB53" s="262"/>
      <c r="AC53" s="263"/>
      <c r="AD53" s="262"/>
      <c r="AE53" s="368"/>
      <c r="AF53" s="1269"/>
      <c r="AG53" s="263"/>
      <c r="AH53" s="404"/>
      <c r="AI53" s="405"/>
      <c r="AJ53" s="406"/>
      <c r="AK53" s="378">
        <f>AL113</f>
        <v>2829.7</v>
      </c>
      <c r="AL53" s="263"/>
      <c r="AM53" s="262"/>
      <c r="AN53" s="256">
        <f t="shared" si="42"/>
        <v>2829.7</v>
      </c>
    </row>
    <row r="54" spans="1:41" s="226" customFormat="1" ht="10.5" customHeight="1" thickBot="1">
      <c r="A54" s="978" t="s">
        <v>374</v>
      </c>
      <c r="B54" s="351">
        <f t="shared" ref="B54:AD54" si="43">B41+B42+B53</f>
        <v>10108.872530936978</v>
      </c>
      <c r="C54" s="264">
        <f t="shared" si="43"/>
        <v>0</v>
      </c>
      <c r="D54" s="351">
        <f t="shared" si="43"/>
        <v>0</v>
      </c>
      <c r="E54" s="264">
        <f t="shared" si="43"/>
        <v>0</v>
      </c>
      <c r="F54" s="351">
        <f t="shared" si="43"/>
        <v>0</v>
      </c>
      <c r="G54" s="264">
        <f t="shared" si="43"/>
        <v>0</v>
      </c>
      <c r="H54" s="351">
        <f t="shared" si="43"/>
        <v>0</v>
      </c>
      <c r="I54" s="351">
        <f t="shared" si="43"/>
        <v>19058.545216689585</v>
      </c>
      <c r="J54" s="356">
        <f t="shared" si="43"/>
        <v>23150.579232707187</v>
      </c>
      <c r="K54" s="357">
        <f t="shared" si="43"/>
        <v>2095.1214161333337</v>
      </c>
      <c r="L54" s="379">
        <f t="shared" si="43"/>
        <v>974.47567093333328</v>
      </c>
      <c r="M54" s="351">
        <f t="shared" si="43"/>
        <v>26219.105319773858</v>
      </c>
      <c r="N54" s="356">
        <f t="shared" si="43"/>
        <v>39461.737104155691</v>
      </c>
      <c r="O54" s="357">
        <f t="shared" si="43"/>
        <v>8296.8317000000006</v>
      </c>
      <c r="P54" s="440">
        <f t="shared" si="43"/>
        <v>6150.7726400000001</v>
      </c>
      <c r="Q54" s="351">
        <f t="shared" si="43"/>
        <v>53909.341444155696</v>
      </c>
      <c r="R54" s="264">
        <f t="shared" si="43"/>
        <v>4728.2971864949341</v>
      </c>
      <c r="S54" s="357">
        <f t="shared" si="43"/>
        <v>507.52544</v>
      </c>
      <c r="T54" s="264">
        <f t="shared" si="43"/>
        <v>484.81744000000003</v>
      </c>
      <c r="U54" s="351">
        <f t="shared" si="43"/>
        <v>5720.6400664949342</v>
      </c>
      <c r="V54" s="264">
        <f t="shared" si="43"/>
        <v>11031.283121415649</v>
      </c>
      <c r="W54" s="264">
        <f t="shared" si="43"/>
        <v>2791.8890000000001</v>
      </c>
      <c r="X54" s="264">
        <f t="shared" si="43"/>
        <v>1374.2</v>
      </c>
      <c r="Y54" s="351">
        <f t="shared" si="43"/>
        <v>15197.37212141565</v>
      </c>
      <c r="Z54" s="264">
        <f t="shared" si="43"/>
        <v>3586.316349999277</v>
      </c>
      <c r="AA54" s="357">
        <f t="shared" si="43"/>
        <v>1483.0368407217447</v>
      </c>
      <c r="AB54" s="264">
        <f t="shared" si="43"/>
        <v>3232.5200673442673</v>
      </c>
      <c r="AC54" s="351">
        <f t="shared" si="43"/>
        <v>138515.74995753198</v>
      </c>
      <c r="AD54" s="264">
        <f t="shared" si="43"/>
        <v>7770.0144081293356</v>
      </c>
      <c r="AE54" s="1270">
        <f>AE41+AE42+AE53</f>
        <v>23219.899233694978</v>
      </c>
      <c r="AF54" s="1270">
        <f>AF41+AF42+AF53</f>
        <v>15959.96487953609</v>
      </c>
      <c r="AG54" s="1270">
        <f>AG41+AG42+AG53</f>
        <v>46949.878521360406</v>
      </c>
      <c r="AH54" s="404"/>
      <c r="AI54" s="405"/>
      <c r="AJ54" s="406"/>
      <c r="AK54" s="379">
        <f>AK41+AK42+AK53</f>
        <v>49895.035015566049</v>
      </c>
      <c r="AL54" s="351">
        <f>AL41+AL42+AL53</f>
        <v>7184.8115371400409</v>
      </c>
      <c r="AM54" s="264">
        <f>AM41+AM42+AM53</f>
        <v>56767.51599073883</v>
      </c>
      <c r="AN54" s="264">
        <f>AN41+AN42+AN53</f>
        <v>299312.99102233729</v>
      </c>
      <c r="AO54" s="229"/>
    </row>
    <row r="55" spans="1:41" s="226" customFormat="1" ht="10.5" customHeight="1" thickBot="1">
      <c r="A55" s="979" t="s">
        <v>406</v>
      </c>
      <c r="B55" s="274"/>
      <c r="C55" s="341"/>
      <c r="D55" s="341"/>
      <c r="E55" s="341"/>
      <c r="F55" s="341"/>
      <c r="G55" s="342"/>
      <c r="H55" s="399"/>
      <c r="I55" s="274"/>
      <c r="J55" s="341"/>
      <c r="K55" s="341"/>
      <c r="L55" s="342"/>
      <c r="M55" s="274"/>
      <c r="N55" s="356">
        <f>N7</f>
        <v>5494.9</v>
      </c>
      <c r="O55" s="357">
        <f>O7</f>
        <v>1125</v>
      </c>
      <c r="P55" s="440">
        <f>P7</f>
        <v>960</v>
      </c>
      <c r="Q55" s="360">
        <f>SUM(N55:P55)</f>
        <v>7579.9</v>
      </c>
      <c r="R55" s="2239">
        <f>'[1]затраты вспом.'!R55+'[2]затраты вспом.'!R55</f>
        <v>71555</v>
      </c>
      <c r="S55" s="2239">
        <f>'[1]затраты вспом.'!S55+'[2]затраты вспом.'!S55</f>
        <v>32870</v>
      </c>
      <c r="T55" s="2239">
        <f>'[1]затраты вспом.'!T55+'[2]затраты вспом.'!T55</f>
        <v>29700</v>
      </c>
      <c r="U55" s="352">
        <f>SUM(R55:T55)</f>
        <v>134125</v>
      </c>
      <c r="V55" s="240">
        <f>'[1]затраты вспом.'!V55</f>
        <v>3478.5714285714284</v>
      </c>
      <c r="W55" s="240">
        <f>'[1]затраты вспом.'!W55</f>
        <v>1749.9999999999998</v>
      </c>
      <c r="X55" s="240">
        <f>'[1]затраты вспом.'!X55</f>
        <v>949.99999999999989</v>
      </c>
      <c r="Y55" s="352">
        <f>SUM(V55:X55)</f>
        <v>6178.5714285714284</v>
      </c>
      <c r="Z55" s="245">
        <v>26025</v>
      </c>
      <c r="AA55" s="273"/>
      <c r="AB55" s="275"/>
      <c r="AC55" s="352"/>
      <c r="AD55" s="275"/>
      <c r="AE55" s="369"/>
      <c r="AF55" s="1270"/>
      <c r="AG55" s="274"/>
      <c r="AH55" s="404"/>
      <c r="AI55" s="405"/>
      <c r="AJ55" s="406"/>
      <c r="AK55" s="380"/>
      <c r="AL55" s="274"/>
      <c r="AM55" s="275"/>
      <c r="AN55" s="276"/>
      <c r="AO55" s="229"/>
    </row>
    <row r="56" spans="1:41" s="226" customFormat="1" ht="10.5" customHeight="1" thickBot="1">
      <c r="A56" s="979" t="s">
        <v>405</v>
      </c>
      <c r="B56" s="274"/>
      <c r="C56" s="273"/>
      <c r="D56" s="273"/>
      <c r="E56" s="273"/>
      <c r="F56" s="273"/>
      <c r="G56" s="275"/>
      <c r="H56" s="399"/>
      <c r="I56" s="274"/>
      <c r="J56" s="273"/>
      <c r="K56" s="273"/>
      <c r="L56" s="275"/>
      <c r="M56" s="274"/>
      <c r="N56" s="374">
        <f>N54/N55</f>
        <v>7.1815205197830156</v>
      </c>
      <c r="O56" s="374">
        <f>O54/O55</f>
        <v>7.3749615111111115</v>
      </c>
      <c r="P56" s="441">
        <f>P54/P55</f>
        <v>6.4070548333333335</v>
      </c>
      <c r="Q56" s="402">
        <f>Q54/Q55</f>
        <v>7.1121441502072189</v>
      </c>
      <c r="R56" s="374">
        <f>R54/R55*1000</f>
        <v>66.079200426174751</v>
      </c>
      <c r="S56" s="374">
        <f>S54/S55*1000</f>
        <v>15.440384545177974</v>
      </c>
      <c r="T56" s="332">
        <f>T54/T55</f>
        <v>1.632381952861953E-2</v>
      </c>
      <c r="U56" s="358">
        <f t="shared" ref="U56:Z56" si="44">U54/U55*1000</f>
        <v>42.651556879738557</v>
      </c>
      <c r="V56" s="279">
        <f t="shared" si="44"/>
        <v>3171.2107535897144</v>
      </c>
      <c r="W56" s="279">
        <f t="shared" si="44"/>
        <v>1595.3651428571432</v>
      </c>
      <c r="X56" s="332">
        <f t="shared" si="44"/>
        <v>1446.526315789474</v>
      </c>
      <c r="Y56" s="358">
        <f t="shared" si="44"/>
        <v>2459.6902855470416</v>
      </c>
      <c r="Z56" s="279">
        <f t="shared" si="44"/>
        <v>137.80274159459276</v>
      </c>
      <c r="AA56" s="273"/>
      <c r="AB56" s="275"/>
      <c r="AC56" s="358"/>
      <c r="AD56" s="275"/>
      <c r="AE56" s="403"/>
      <c r="AF56" s="1271"/>
      <c r="AG56" s="274"/>
      <c r="AH56" s="404"/>
      <c r="AI56" s="405"/>
      <c r="AJ56" s="406"/>
      <c r="AK56" s="380"/>
      <c r="AL56" s="274"/>
      <c r="AM56" s="275"/>
      <c r="AN56" s="276"/>
      <c r="AO56" s="229"/>
    </row>
    <row r="57" spans="1:41" s="1032" customFormat="1" ht="10.5" customHeight="1" thickBot="1">
      <c r="A57" s="1019" t="s">
        <v>392</v>
      </c>
      <c r="B57" s="1020">
        <f t="shared" ref="B57:AG57" si="45">B58+B82+B90+B109+B113+B114+B115+B116</f>
        <v>10108.872530936978</v>
      </c>
      <c r="C57" s="1021">
        <f t="shared" si="45"/>
        <v>0</v>
      </c>
      <c r="D57" s="1022">
        <f t="shared" si="45"/>
        <v>0</v>
      </c>
      <c r="E57" s="1022">
        <f t="shared" si="45"/>
        <v>0</v>
      </c>
      <c r="F57" s="1022">
        <f t="shared" si="45"/>
        <v>0</v>
      </c>
      <c r="G57" s="1022">
        <f t="shared" si="45"/>
        <v>0</v>
      </c>
      <c r="H57" s="1020">
        <f t="shared" si="45"/>
        <v>0</v>
      </c>
      <c r="I57" s="1020">
        <f t="shared" si="45"/>
        <v>19058.545216689585</v>
      </c>
      <c r="J57" s="1021">
        <f>J58+J82+J90+J109+J113+J114+J115+J116</f>
        <v>23150.57923270719</v>
      </c>
      <c r="K57" s="1022">
        <f>K113</f>
        <v>2282.7510894666666</v>
      </c>
      <c r="L57" s="1022">
        <f>L58+L82+L90+L109+L113+L114+L115+L116</f>
        <v>974.47567093333328</v>
      </c>
      <c r="M57" s="1022">
        <f>M58+M82+M90+M109+M113+M114+M115+M116-0.8</f>
        <v>26407.005993107192</v>
      </c>
      <c r="N57" s="1021">
        <f t="shared" si="45"/>
        <v>39461.737104155691</v>
      </c>
      <c r="O57" s="1022">
        <f t="shared" si="45"/>
        <v>8129.9954599999992</v>
      </c>
      <c r="P57" s="1022">
        <f t="shared" si="45"/>
        <v>6150.7726399999992</v>
      </c>
      <c r="Q57" s="1020">
        <f>Q58+Q82+Q90+Q109+Q113+Q114+Q115+Q116</f>
        <v>53742.505204155685</v>
      </c>
      <c r="R57" s="1021">
        <f t="shared" si="45"/>
        <v>4728.2971864949341</v>
      </c>
      <c r="S57" s="1023">
        <f t="shared" si="45"/>
        <v>523.97046295071993</v>
      </c>
      <c r="T57" s="1021">
        <f t="shared" si="45"/>
        <v>505.28981551007996</v>
      </c>
      <c r="U57" s="1024">
        <f>U58+U82+U90+U109+U113+U114+U115+U116</f>
        <v>5757.5574649557348</v>
      </c>
      <c r="V57" s="1024">
        <f t="shared" si="45"/>
        <v>11046.881304943832</v>
      </c>
      <c r="W57" s="1022">
        <f t="shared" si="45"/>
        <v>2976.8890000000006</v>
      </c>
      <c r="X57" s="1025">
        <f t="shared" si="45"/>
        <v>1515.2</v>
      </c>
      <c r="Y57" s="1026">
        <f t="shared" si="45"/>
        <v>15538.970304943834</v>
      </c>
      <c r="Z57" s="1021">
        <f t="shared" si="45"/>
        <v>3586.3163499992775</v>
      </c>
      <c r="AA57" s="1022">
        <f t="shared" si="45"/>
        <v>1484.2819391217447</v>
      </c>
      <c r="AB57" s="1022">
        <f t="shared" si="45"/>
        <v>3233.7296673442675</v>
      </c>
      <c r="AC57" s="1020">
        <f>AC58+AC82+AC90+AC109+AC113+AC114+AC115+AC116-0.8</f>
        <v>138917.78467125431</v>
      </c>
      <c r="AD57" s="1021">
        <f t="shared" si="45"/>
        <v>7770.5424081293349</v>
      </c>
      <c r="AE57" s="1027">
        <f t="shared" si="45"/>
        <v>23221.099233694978</v>
      </c>
      <c r="AF57" s="1025">
        <f t="shared" si="45"/>
        <v>15961.025759536089</v>
      </c>
      <c r="AG57" s="1025">
        <f t="shared" si="45"/>
        <v>46952.667401360406</v>
      </c>
      <c r="AH57" s="1028"/>
      <c r="AI57" s="1029"/>
      <c r="AJ57" s="1030"/>
      <c r="AK57" s="1020">
        <f>AK58+AK82+AK90+AK109+AK113+AK114+AK115+AK116</f>
        <v>49930.147015566057</v>
      </c>
      <c r="AL57" s="1020">
        <f>AL58+AL82+AL90+AL109+AL113+AL114+AL115+AL116</f>
        <v>7496.8500442109716</v>
      </c>
      <c r="AM57" s="1020">
        <f>AM58+AM82+AM90+AM109+AM113+AM114+AM115+AM116</f>
        <v>56773.107990738834</v>
      </c>
      <c r="AN57" s="1020">
        <f>AN58+AN82+AN90+AN109+AN113+AN114+AN115+AN116</f>
        <v>300071.35712313058</v>
      </c>
    </row>
    <row r="58" spans="1:41" s="1037" customFormat="1" ht="10.5" customHeight="1">
      <c r="A58" s="1033" t="s">
        <v>393</v>
      </c>
      <c r="B58" s="1034">
        <f>SUM(B68,B77:B78,B79,B80,B81)</f>
        <v>2104.2635932477742</v>
      </c>
      <c r="C58" s="1034">
        <f t="shared" ref="C58:Y58" si="46">SUM(C68,C77:C78)</f>
        <v>0</v>
      </c>
      <c r="D58" s="1203">
        <f t="shared" si="46"/>
        <v>0</v>
      </c>
      <c r="E58" s="1218">
        <f t="shared" si="46"/>
        <v>0</v>
      </c>
      <c r="F58" s="1202">
        <f t="shared" si="46"/>
        <v>0</v>
      </c>
      <c r="G58" s="1036">
        <f t="shared" si="46"/>
        <v>0</v>
      </c>
      <c r="H58" s="1034">
        <f t="shared" si="46"/>
        <v>0</v>
      </c>
      <c r="I58" s="1034">
        <f t="shared" ref="I58:T58" si="47">SUM(I68,I77:I78,I79,I80,I81)</f>
        <v>5630.3441717955575</v>
      </c>
      <c r="J58" s="1034">
        <f t="shared" si="47"/>
        <v>14215.926168646625</v>
      </c>
      <c r="K58" s="1034">
        <f t="shared" si="47"/>
        <v>0</v>
      </c>
      <c r="L58" s="1034">
        <f t="shared" si="47"/>
        <v>55.674676558560002</v>
      </c>
      <c r="M58" s="1034">
        <f t="shared" si="47"/>
        <v>14271.600845205186</v>
      </c>
      <c r="N58" s="1034">
        <f t="shared" si="47"/>
        <v>12107.371411991393</v>
      </c>
      <c r="O58" s="1034">
        <f t="shared" si="47"/>
        <v>8129.9954599999992</v>
      </c>
      <c r="P58" s="1034">
        <f t="shared" si="47"/>
        <v>6150.7726399999992</v>
      </c>
      <c r="Q58" s="1034">
        <f t="shared" si="47"/>
        <v>26388.13951199139</v>
      </c>
      <c r="R58" s="1034">
        <f t="shared" si="47"/>
        <v>1915.9423098087939</v>
      </c>
      <c r="S58" s="1034">
        <f t="shared" si="47"/>
        <v>516.37289123793448</v>
      </c>
      <c r="T58" s="1034">
        <f t="shared" si="47"/>
        <v>505.28981551007996</v>
      </c>
      <c r="U58" s="1035">
        <f>SUM(U68,U77:U78)+U79+U80</f>
        <v>2937.6050165568086</v>
      </c>
      <c r="V58" s="1034">
        <f>SUM(V68,V77:V78,V79,V80,V81)</f>
        <v>5090.3708524433368</v>
      </c>
      <c r="W58" s="1034">
        <f>SUM(W68,W77:W78,W79,W80,W81)</f>
        <v>2976.8890000000006</v>
      </c>
      <c r="X58" s="1034">
        <f>SUM(X68,X77:X78,X79,X80,X81)</f>
        <v>1515.2</v>
      </c>
      <c r="Y58" s="1036">
        <f t="shared" si="46"/>
        <v>9582.4598524433386</v>
      </c>
      <c r="Z58" s="1034">
        <f>SUM(Z68,Z77:Z78,Z79,Z80,Z81)</f>
        <v>1555.7768266380197</v>
      </c>
      <c r="AA58" s="1034">
        <f t="shared" ref="AA58:AB58" si="48">SUM(AA68,AA77:AA78,AA79,AA80,AA81)</f>
        <v>0</v>
      </c>
      <c r="AB58" s="1034">
        <f t="shared" si="48"/>
        <v>0</v>
      </c>
      <c r="AC58" s="1034">
        <f>SUM(AC68,AC77:AC78,AC79,AC80,AC81)</f>
        <v>62470.189817878068</v>
      </c>
      <c r="AD58" s="1034">
        <f>SUM(AD68,AD77:AD78,AD79,AD80,AD81)</f>
        <v>7770.5424081293349</v>
      </c>
      <c r="AE58" s="1034">
        <f t="shared" ref="AE58:AF58" si="49">SUM(AE68,AE77:AE78,AE79,AE80,AE81)</f>
        <v>23221.099233694978</v>
      </c>
      <c r="AF58" s="1034">
        <f t="shared" si="49"/>
        <v>15961.025759536089</v>
      </c>
      <c r="AG58" s="1034">
        <f>SUM(AG68,AG77:AG78,AG79,AG80,AG81)</f>
        <v>46952.667401360406</v>
      </c>
      <c r="AH58" s="992"/>
      <c r="AI58" s="993"/>
      <c r="AJ58" s="994"/>
      <c r="AK58" s="1034">
        <f>SUM(AK68,AK77:AK78,AK79,AK80,AK81)</f>
        <v>29111.44510482327</v>
      </c>
      <c r="AL58" s="1034">
        <f t="shared" ref="AL58:AM58" si="50">SUM(AL68,AL77:AL78,AL79,AL80,AL81)</f>
        <v>0</v>
      </c>
      <c r="AM58" s="1034">
        <f t="shared" si="50"/>
        <v>0</v>
      </c>
      <c r="AN58" s="1034">
        <f>SUM(AN68,AN77:AN78)+AN79+AN80+AN81</f>
        <v>138534.30232406175</v>
      </c>
    </row>
    <row r="59" spans="1:41" s="998" customFormat="1" ht="10.5" customHeight="1">
      <c r="A59" s="1275" t="s">
        <v>613</v>
      </c>
      <c r="B59" s="2239">
        <f>'[1]затраты вспом.'!B59+'[2]затраты вспом.'!B59</f>
        <v>4.2512697584122243</v>
      </c>
      <c r="C59" s="982">
        <f>'[1]затраты вспом.'!C59</f>
        <v>0</v>
      </c>
      <c r="D59" s="982">
        <f>'[1]затраты вспом.'!D59</f>
        <v>0</v>
      </c>
      <c r="E59" s="982">
        <f>'[1]затраты вспом.'!E59</f>
        <v>0</v>
      </c>
      <c r="F59" s="982">
        <f>'[1]затраты вспом.'!F59</f>
        <v>0</v>
      </c>
      <c r="G59" s="982">
        <f>'[1]затраты вспом.'!G59</f>
        <v>0</v>
      </c>
      <c r="H59" s="982">
        <f>'[1]затраты вспом.'!H59</f>
        <v>0</v>
      </c>
      <c r="I59" s="2239">
        <f>'[1]затраты вспом.'!I59+'[2]затраты вспом.'!I59</f>
        <v>0.15691961047518568</v>
      </c>
      <c r="J59" s="2239">
        <f>'[1]затраты вспом.'!J59+'[2]затраты вспом.'!J59</f>
        <v>9.1967399999999984</v>
      </c>
      <c r="K59" s="982">
        <f>'[1]затраты вспом.'!K59</f>
        <v>0</v>
      </c>
      <c r="L59" s="982">
        <f>'[1]затраты вспом.'!L59</f>
        <v>0</v>
      </c>
      <c r="M59" s="1300">
        <f t="shared" ref="M59:M62" si="51">SUM(J59:L59)</f>
        <v>9.1967399999999984</v>
      </c>
      <c r="N59" s="2239">
        <f>'[1]затраты вспом.'!N59+'[2]затраты вспом.'!N59</f>
        <v>40.405091395967389</v>
      </c>
      <c r="O59" s="982"/>
      <c r="P59" s="982"/>
      <c r="Q59" s="1300">
        <f t="shared" ref="Q59:Q62" si="52">SUM(N59:P59)</f>
        <v>40.405091395967389</v>
      </c>
      <c r="R59" s="2239">
        <f>'[1]затраты вспом.'!R59+'[2]затраты вспом.'!R59</f>
        <v>1.8215202785349425</v>
      </c>
      <c r="S59" s="982"/>
      <c r="T59" s="982"/>
      <c r="U59" s="1300">
        <f t="shared" ref="U59:U62" si="53">SUM(R59:T59)</f>
        <v>1.8215202785349425</v>
      </c>
      <c r="V59" s="2239">
        <f>'[1]затраты вспом.'!V59+'[2]затраты вспом.'!V59</f>
        <v>5.5033320045452925</v>
      </c>
      <c r="W59" s="982"/>
      <c r="X59" s="982"/>
      <c r="Y59" s="1300">
        <f t="shared" ref="Y59:Y62" si="54">SUM(V59:X59)</f>
        <v>5.5033320045452925</v>
      </c>
      <c r="Z59" s="2239">
        <f>'[1]затраты вспом.'!Z59+'[2]затраты вспом.'!Z59</f>
        <v>1.576070114435506</v>
      </c>
      <c r="AA59" s="982"/>
      <c r="AB59" s="982"/>
      <c r="AC59" s="981">
        <f>B59+H59+I59+M59+Q59+U59+Y59+Z59+AA59+AB59</f>
        <v>62.910943162370543</v>
      </c>
      <c r="AD59" s="987"/>
      <c r="AE59" s="2239">
        <f>'[1]затраты вспом.'!AE59+'[2]затраты вспом.'!AE59</f>
        <v>57.761903003509872</v>
      </c>
      <c r="AF59" s="1077"/>
      <c r="AG59" s="991">
        <f>SUM(AD59:AF59)</f>
        <v>57.761903003509872</v>
      </c>
      <c r="AH59" s="992"/>
      <c r="AI59" s="993"/>
      <c r="AJ59" s="994"/>
      <c r="AK59" s="2239">
        <f>'[1]затраты вспом.'!AK59+'[2]затраты вспом.'!AK59</f>
        <v>22.048001944446568</v>
      </c>
      <c r="AL59" s="995"/>
      <c r="AM59" s="996"/>
      <c r="AN59" s="1039">
        <f>AC59+AG59+AK59+AL59+AM59</f>
        <v>142.72084811032698</v>
      </c>
    </row>
    <row r="60" spans="1:41" s="998" customFormat="1" ht="10.5" customHeight="1">
      <c r="A60" s="1275" t="s">
        <v>614</v>
      </c>
      <c r="B60" s="2239">
        <f>'[1]затраты вспом.'!B60+'[2]затраты вспом.'!B60</f>
        <v>0</v>
      </c>
      <c r="C60" s="982">
        <f>'[1]затраты вспом.'!C60</f>
        <v>0</v>
      </c>
      <c r="D60" s="982">
        <f>'[1]затраты вспом.'!D60</f>
        <v>0</v>
      </c>
      <c r="E60" s="982">
        <f>'[1]затраты вспом.'!E60</f>
        <v>0</v>
      </c>
      <c r="F60" s="982">
        <f>'[1]затраты вспом.'!F60</f>
        <v>0</v>
      </c>
      <c r="G60" s="982">
        <f>'[1]затраты вспом.'!G60</f>
        <v>0</v>
      </c>
      <c r="H60" s="982">
        <f>'[1]затраты вспом.'!H60</f>
        <v>0</v>
      </c>
      <c r="I60" s="2239">
        <f>'[1]затраты вспом.'!I60+'[2]затраты вспом.'!I60</f>
        <v>0</v>
      </c>
      <c r="J60" s="2239">
        <f>'[1]затраты вспом.'!J60+'[2]затраты вспом.'!J60</f>
        <v>524.60007600000006</v>
      </c>
      <c r="K60" s="982">
        <f>'[1]затраты вспом.'!K60</f>
        <v>0</v>
      </c>
      <c r="L60" s="982">
        <f>'[1]затраты вспом.'!L60</f>
        <v>0</v>
      </c>
      <c r="M60" s="1300">
        <f t="shared" si="51"/>
        <v>524.60007600000006</v>
      </c>
      <c r="N60" s="2239">
        <f>'[1]затраты вспом.'!N60+'[2]затраты вспом.'!N60</f>
        <v>916.29447269934167</v>
      </c>
      <c r="O60" s="982"/>
      <c r="P60" s="982"/>
      <c r="Q60" s="1300">
        <f t="shared" si="52"/>
        <v>916.29447269934167</v>
      </c>
      <c r="R60" s="2239">
        <f>'[1]затраты вспом.'!R60+'[2]затраты вспом.'!R60</f>
        <v>117.7372883150816</v>
      </c>
      <c r="S60" s="982"/>
      <c r="T60" s="982"/>
      <c r="U60" s="1300">
        <f t="shared" si="53"/>
        <v>117.7372883150816</v>
      </c>
      <c r="V60" s="2239">
        <f>'[1]затраты вспом.'!V60+'[2]затраты вспом.'!V60</f>
        <v>360.80723972607677</v>
      </c>
      <c r="W60" s="982"/>
      <c r="X60" s="982"/>
      <c r="Y60" s="1300">
        <f t="shared" si="54"/>
        <v>360.80723972607677</v>
      </c>
      <c r="Z60" s="2239">
        <f>'[1]затраты вспом.'!Z60+'[2]затраты вспом.'!Z60</f>
        <v>192.28995405928885</v>
      </c>
      <c r="AA60" s="982"/>
      <c r="AB60" s="982"/>
      <c r="AC60" s="981">
        <f>B60+H60+I60+M60+Q60+U60+Y60+Z60+AA60+AB60</f>
        <v>2111.7290307997887</v>
      </c>
      <c r="AD60" s="987"/>
      <c r="AE60" s="2239">
        <f>'[1]затраты вспом.'!AE60+'[2]затраты вспом.'!AE60</f>
        <v>2064.2792856876231</v>
      </c>
      <c r="AF60" s="1077"/>
      <c r="AG60" s="991">
        <f>SUM(AD60:AF60)</f>
        <v>2064.2792856876231</v>
      </c>
      <c r="AH60" s="992"/>
      <c r="AI60" s="993"/>
      <c r="AJ60" s="994"/>
      <c r="AK60" s="2239">
        <f>'[1]затраты вспом.'!AK60+'[2]затраты вспом.'!AK60</f>
        <v>764.57024081028112</v>
      </c>
      <c r="AL60" s="995"/>
      <c r="AM60" s="996"/>
      <c r="AN60" s="1039">
        <f>AC60+AG60+AK60+AL60+AM60</f>
        <v>4940.5785572976929</v>
      </c>
    </row>
    <row r="61" spans="1:41" s="998" customFormat="1" ht="10.5" customHeight="1">
      <c r="A61" s="1275" t="s">
        <v>615</v>
      </c>
      <c r="B61" s="2239">
        <f>'[1]затраты вспом.'!B61+'[2]затраты вспом.'!B61</f>
        <v>251.67516969800363</v>
      </c>
      <c r="C61" s="982">
        <f>'[1]затраты вспом.'!C61</f>
        <v>0</v>
      </c>
      <c r="D61" s="982">
        <f>'[1]затраты вспом.'!D61</f>
        <v>0</v>
      </c>
      <c r="E61" s="982">
        <f>'[1]затраты вспом.'!E61</f>
        <v>0</v>
      </c>
      <c r="F61" s="982">
        <f>'[1]затраты вспом.'!F61</f>
        <v>0</v>
      </c>
      <c r="G61" s="982">
        <f>'[1]затраты вспом.'!G61</f>
        <v>0</v>
      </c>
      <c r="H61" s="982">
        <f>'[1]затраты вспом.'!H61</f>
        <v>0</v>
      </c>
      <c r="I61" s="2239">
        <f>'[1]затраты вспом.'!I61+'[2]затраты вспом.'!I61</f>
        <v>9.2896409401309921</v>
      </c>
      <c r="J61" s="2239">
        <f>'[1]затраты вспом.'!J61+'[2]затраты вспом.'!J61</f>
        <v>40.458599999999997</v>
      </c>
      <c r="K61" s="982">
        <f>'[1]затраты вспом.'!K61</f>
        <v>0</v>
      </c>
      <c r="L61" s="982">
        <f>'[1]затраты вспом.'!L61</f>
        <v>0</v>
      </c>
      <c r="M61" s="1300">
        <f t="shared" si="51"/>
        <v>40.458599999999997</v>
      </c>
      <c r="N61" s="2239">
        <f>'[1]затраты вспом.'!N61+'[2]затраты вспом.'!N61</f>
        <v>249.46137063980623</v>
      </c>
      <c r="O61" s="982"/>
      <c r="P61" s="982"/>
      <c r="Q61" s="1300">
        <f t="shared" si="52"/>
        <v>249.46137063980623</v>
      </c>
      <c r="R61" s="2239">
        <f>'[1]затраты вспом.'!R61+'[2]затраты вспом.'!R61</f>
        <v>9.4798093586482288</v>
      </c>
      <c r="S61" s="982"/>
      <c r="T61" s="982"/>
      <c r="U61" s="1300">
        <f t="shared" si="53"/>
        <v>9.4798093586482288</v>
      </c>
      <c r="V61" s="2239">
        <f>'[1]затраты вспом.'!V61+'[2]затраты вспом.'!V61</f>
        <v>27.867844262181311</v>
      </c>
      <c r="W61" s="982"/>
      <c r="X61" s="982"/>
      <c r="Y61" s="1300">
        <f t="shared" si="54"/>
        <v>27.867844262181311</v>
      </c>
      <c r="Z61" s="2239">
        <f>'[1]затраты вспом.'!Z61+'[2]затраты вспом.'!Z61</f>
        <v>10.417333612531161</v>
      </c>
      <c r="AA61" s="982"/>
      <c r="AB61" s="982"/>
      <c r="AC61" s="981">
        <f>B61+H61+I61+M61+Q61+U61+Y61+Z61+AA61+AB61</f>
        <v>598.64976851130155</v>
      </c>
      <c r="AD61" s="987"/>
      <c r="AE61" s="2239">
        <f>'[1]затраты вспом.'!AE61+'[2]затраты вспом.'!AE61</f>
        <v>543.10092462845455</v>
      </c>
      <c r="AF61" s="1077"/>
      <c r="AG61" s="991">
        <f>SUM(AD61:AF61)</f>
        <v>543.10092462845455</v>
      </c>
      <c r="AH61" s="992"/>
      <c r="AI61" s="993"/>
      <c r="AJ61" s="994"/>
      <c r="AK61" s="2239">
        <f>'[1]затраты вспом.'!AK61+'[2]затраты вспом.'!AK61</f>
        <v>198.37708117065671</v>
      </c>
      <c r="AL61" s="995"/>
      <c r="AM61" s="996"/>
      <c r="AN61" s="1039">
        <f>AC61+AG61+AK61+AL61+AM61</f>
        <v>1340.1277743104129</v>
      </c>
    </row>
    <row r="62" spans="1:41" s="998" customFormat="1" ht="10.5" customHeight="1">
      <c r="A62" s="1275" t="s">
        <v>616</v>
      </c>
      <c r="B62" s="2239">
        <f>'[1]затраты вспом.'!B62+'[2]затраты вспом.'!B62</f>
        <v>341.42419793115056</v>
      </c>
      <c r="C62" s="982">
        <f>'[1]затраты вспом.'!C62</f>
        <v>0</v>
      </c>
      <c r="D62" s="982">
        <f>'[1]затраты вспом.'!D62</f>
        <v>0</v>
      </c>
      <c r="E62" s="982">
        <f>'[1]затраты вспом.'!E62</f>
        <v>0</v>
      </c>
      <c r="F62" s="982">
        <f>'[1]затраты вспом.'!F62</f>
        <v>0</v>
      </c>
      <c r="G62" s="982">
        <f>'[1]затраты вспом.'!G62</f>
        <v>0</v>
      </c>
      <c r="H62" s="982">
        <f>'[1]затраты вспом.'!H62</f>
        <v>0</v>
      </c>
      <c r="I62" s="2239">
        <f>'[1]затраты вспом.'!I62+'[2]затраты вспом.'!I62</f>
        <v>12.602388272384911</v>
      </c>
      <c r="J62" s="2239">
        <f>'[1]затраты вспом.'!J62+'[2]затраты вспом.'!J62</f>
        <v>15.251571719999999</v>
      </c>
      <c r="K62" s="982">
        <f>'[1]затраты вспом.'!K62</f>
        <v>0</v>
      </c>
      <c r="L62" s="982">
        <f>'[1]затраты вспом.'!L62</f>
        <v>0</v>
      </c>
      <c r="M62" s="1300">
        <f t="shared" si="51"/>
        <v>15.251571719999999</v>
      </c>
      <c r="N62" s="2239">
        <f>'[1]затраты вспом.'!N62+'[2]затраты вспом.'!N62</f>
        <v>2612.220279202968</v>
      </c>
      <c r="O62" s="982"/>
      <c r="P62" s="982"/>
      <c r="Q62" s="1300">
        <f t="shared" si="52"/>
        <v>2612.220279202968</v>
      </c>
      <c r="R62" s="2239">
        <f>'[1]затраты вспом.'!R62+'[2]затраты вспом.'!R62</f>
        <v>261.28524946305879</v>
      </c>
      <c r="S62" s="982"/>
      <c r="T62" s="982"/>
      <c r="U62" s="1300">
        <f t="shared" si="53"/>
        <v>261.28524946305879</v>
      </c>
      <c r="V62" s="2239">
        <f>'[1]затраты вспом.'!V62+'[2]затраты вспом.'!V62</f>
        <v>808.92486908437604</v>
      </c>
      <c r="W62" s="982"/>
      <c r="X62" s="982"/>
      <c r="Y62" s="1300">
        <f t="shared" si="54"/>
        <v>808.92486908437604</v>
      </c>
      <c r="Z62" s="2239">
        <f>'[1]затраты вспом.'!Z62+'[2]затраты вспом.'!Z62</f>
        <v>30.335894575325618</v>
      </c>
      <c r="AA62" s="982"/>
      <c r="AB62" s="982"/>
      <c r="AC62" s="981">
        <f>B62+H62+I62+M62+Q62+U62+Y62+Z62+AA62+AB62</f>
        <v>4082.0444502492642</v>
      </c>
      <c r="AD62" s="987"/>
      <c r="AE62" s="2239">
        <f>'[1]затраты вспом.'!AE62+'[2]затраты вспом.'!AE62</f>
        <v>4024.6176686725094</v>
      </c>
      <c r="AF62" s="1077"/>
      <c r="AG62" s="991">
        <f>SUM(AD62:AF62)</f>
        <v>4024.6176686725094</v>
      </c>
      <c r="AH62" s="992"/>
      <c r="AI62" s="993"/>
      <c r="AJ62" s="994"/>
      <c r="AK62" s="2239">
        <f>'[1]затраты вспом.'!AK62+'[2]затраты вспом.'!AK62</f>
        <v>1522.6512786295243</v>
      </c>
      <c r="AL62" s="995"/>
      <c r="AM62" s="996"/>
      <c r="AN62" s="1039">
        <f>AC62+AG62+AK62+AL62+AM62</f>
        <v>9629.3133975512974</v>
      </c>
    </row>
    <row r="63" spans="1:41" s="998" customFormat="1" ht="9.75" customHeight="1">
      <c r="A63" s="980" t="s">
        <v>407</v>
      </c>
      <c r="B63" s="995">
        <f>SUM(B59:B62)</f>
        <v>597.35063738756639</v>
      </c>
      <c r="C63" s="1040"/>
      <c r="D63" s="988"/>
      <c r="E63" s="988"/>
      <c r="F63" s="988"/>
      <c r="G63" s="996"/>
      <c r="H63" s="995"/>
      <c r="I63" s="995">
        <f>SUM(I59:I62)</f>
        <v>22.048948822991086</v>
      </c>
      <c r="J63" s="1040">
        <f t="shared" ref="J63:M63" si="55">SUM(J59:J62)</f>
        <v>589.5069877200001</v>
      </c>
      <c r="K63" s="988">
        <f t="shared" si="55"/>
        <v>0</v>
      </c>
      <c r="L63" s="996">
        <f t="shared" si="55"/>
        <v>0</v>
      </c>
      <c r="M63" s="1040">
        <f t="shared" si="55"/>
        <v>589.5069877200001</v>
      </c>
      <c r="N63" s="1040">
        <f t="shared" ref="N63" si="56">SUM(N59:N62)</f>
        <v>3818.3812139380834</v>
      </c>
      <c r="O63" s="988"/>
      <c r="P63" s="996"/>
      <c r="Q63" s="1040">
        <f t="shared" ref="Q63" si="57">SUM(Q59:Q62)</f>
        <v>3818.3812139380834</v>
      </c>
      <c r="R63" s="1040">
        <f t="shared" ref="R63" si="58">SUM(R59:R62)</f>
        <v>390.32386741532355</v>
      </c>
      <c r="S63" s="988"/>
      <c r="T63" s="996"/>
      <c r="U63" s="1040">
        <f t="shared" ref="U63" si="59">SUM(U59:U62)</f>
        <v>390.32386741532355</v>
      </c>
      <c r="V63" s="1040">
        <f t="shared" ref="V63" si="60">SUM(V59:V62)</f>
        <v>1203.1032850771794</v>
      </c>
      <c r="W63" s="988"/>
      <c r="X63" s="996"/>
      <c r="Y63" s="1040">
        <f t="shared" ref="Y63:Z63" si="61">SUM(Y59:Y62)</f>
        <v>1203.1032850771794</v>
      </c>
      <c r="Z63" s="1040">
        <f t="shared" si="61"/>
        <v>234.61925236158115</v>
      </c>
      <c r="AA63" s="1040"/>
      <c r="AB63" s="1040"/>
      <c r="AC63" s="995">
        <f>SUM(AC59:AC62)</f>
        <v>6855.3341927227248</v>
      </c>
      <c r="AD63" s="1040">
        <f t="shared" ref="AD63" si="62">SUM(AD59:AD62)</f>
        <v>0</v>
      </c>
      <c r="AE63" s="1041">
        <f t="shared" ref="AE63:AN63" si="63">SUM(AE59:AE62)</f>
        <v>6689.7597819920966</v>
      </c>
      <c r="AF63" s="989"/>
      <c r="AG63" s="995">
        <f t="shared" si="63"/>
        <v>6689.7597819920966</v>
      </c>
      <c r="AH63" s="992"/>
      <c r="AI63" s="993"/>
      <c r="AJ63" s="994"/>
      <c r="AK63" s="1006">
        <f t="shared" si="63"/>
        <v>2507.6466025549089</v>
      </c>
      <c r="AL63" s="995">
        <f t="shared" si="63"/>
        <v>0</v>
      </c>
      <c r="AM63" s="996">
        <f t="shared" si="63"/>
        <v>0</v>
      </c>
      <c r="AN63" s="997">
        <f t="shared" si="63"/>
        <v>16052.740577269731</v>
      </c>
    </row>
    <row r="64" spans="1:41" s="998" customFormat="1" ht="9.75" customHeight="1">
      <c r="A64" s="1276" t="s">
        <v>617</v>
      </c>
      <c r="B64" s="2239">
        <f>'[1]затраты вспом.'!B64+'[2]затраты вспом.'!B64</f>
        <v>195.08604558047205</v>
      </c>
      <c r="C64" s="982">
        <f>'[1]затраты вспом.'!C64</f>
        <v>0</v>
      </c>
      <c r="D64" s="982">
        <f>'[1]затраты вспом.'!D64</f>
        <v>0</v>
      </c>
      <c r="E64" s="982">
        <f>'[1]затраты вспом.'!E64</f>
        <v>0</v>
      </c>
      <c r="F64" s="982">
        <f>'[1]затраты вспом.'!F64</f>
        <v>0</v>
      </c>
      <c r="G64" s="982">
        <f>'[1]затраты вспом.'!G64</f>
        <v>0</v>
      </c>
      <c r="H64" s="982">
        <f>'[1]затраты вспом.'!H64</f>
        <v>0</v>
      </c>
      <c r="I64" s="2239">
        <f>'[1]затраты вспом.'!I64+'[2]затраты вспом.'!I64</f>
        <v>7.2008665695835194</v>
      </c>
      <c r="J64" s="2239">
        <f>'[1]затраты вспом.'!J64+'[2]затраты вспом.'!J64</f>
        <v>101.84065584000001</v>
      </c>
      <c r="K64" s="243">
        <f>'[1]затраты вспом.'!K64</f>
        <v>0</v>
      </c>
      <c r="L64" s="343">
        <f>'[1]затраты вспом.'!L64</f>
        <v>0</v>
      </c>
      <c r="M64" s="1300">
        <f t="shared" ref="M64:M67" si="64">SUM(J64:L64)</f>
        <v>101.84065584000001</v>
      </c>
      <c r="N64" s="2239">
        <f>'[1]затраты вспом.'!N64+'[2]затраты вспом.'!N64</f>
        <v>380.16382755970227</v>
      </c>
      <c r="O64" s="243"/>
      <c r="P64" s="343"/>
      <c r="Q64" s="1300">
        <f t="shared" ref="Q64:Q67" si="65">SUM(N64:P64)</f>
        <v>380.16382755970227</v>
      </c>
      <c r="R64" s="2239">
        <f>'[1]затраты вспом.'!R64+'[2]затраты вспом.'!R64</f>
        <v>25.939290420786151</v>
      </c>
      <c r="S64" s="243"/>
      <c r="T64" s="343"/>
      <c r="U64" s="1300">
        <f t="shared" ref="U64:U67" si="66">SUM(R64:T64)</f>
        <v>25.939290420786151</v>
      </c>
      <c r="V64" s="2239">
        <f>'[1]затраты вспом.'!V64+'[2]затраты вспом.'!V64</f>
        <v>81.806888018571598</v>
      </c>
      <c r="W64" s="243"/>
      <c r="X64" s="343"/>
      <c r="Y64" s="1300">
        <f t="shared" ref="Y64:Y67" si="67">SUM(V64:X64)</f>
        <v>81.806888018571598</v>
      </c>
      <c r="Z64" s="2239">
        <f>'[1]затраты вспом.'!Z64+'[2]затраты вспом.'!Z64</f>
        <v>12.476968540619374</v>
      </c>
      <c r="AA64" s="982"/>
      <c r="AB64" s="982"/>
      <c r="AC64" s="981">
        <f>B64+H64+I64+M64+Q64+U64+Y64+Z64+AA64+AB64</f>
        <v>804.51454252973508</v>
      </c>
      <c r="AD64" s="987"/>
      <c r="AE64" s="2239">
        <f>'[1]затраты вспом.'!AE64+'[2]затраты вспом.'!AE64</f>
        <v>1100.2557034386457</v>
      </c>
      <c r="AF64" s="1077"/>
      <c r="AG64" s="991">
        <f>SUM(AD64:AF64)</f>
        <v>1100.2557034386457</v>
      </c>
      <c r="AH64" s="992"/>
      <c r="AI64" s="993"/>
      <c r="AJ64" s="994"/>
      <c r="AK64" s="2239">
        <f>'[1]затраты вспом.'!AK64+'[2]затраты вспом.'!AK64</f>
        <v>522.73631465785331</v>
      </c>
      <c r="AL64" s="995"/>
      <c r="AM64" s="996"/>
      <c r="AN64" s="997">
        <f>AC64+AG64+AK64+AL64+AM64</f>
        <v>2427.5065606262342</v>
      </c>
    </row>
    <row r="65" spans="1:40" s="998" customFormat="1" ht="9.75" customHeight="1">
      <c r="A65" s="1276" t="s">
        <v>618</v>
      </c>
      <c r="B65" s="2239">
        <f>'[1]затраты вспом.'!B65+'[2]затраты вспом.'!B65</f>
        <v>152.28993001245567</v>
      </c>
      <c r="C65" s="982">
        <f>'[1]затраты вспом.'!C65</f>
        <v>0</v>
      </c>
      <c r="D65" s="982">
        <f>'[1]затраты вспом.'!D65</f>
        <v>0</v>
      </c>
      <c r="E65" s="982">
        <f>'[1]затраты вспом.'!E65</f>
        <v>0</v>
      </c>
      <c r="F65" s="982">
        <f>'[1]затраты вспом.'!F65</f>
        <v>0</v>
      </c>
      <c r="G65" s="982">
        <f>'[1]затраты вспом.'!G65</f>
        <v>0</v>
      </c>
      <c r="H65" s="982">
        <f>'[1]затраты вспом.'!H65</f>
        <v>0</v>
      </c>
      <c r="I65" s="2239">
        <f>'[1]затраты вспом.'!I65+'[2]затраты вспом.'!I65</f>
        <v>5.6212091574666507</v>
      </c>
      <c r="J65" s="2239">
        <f>'[1]затраты вспом.'!J65+'[2]затраты вспом.'!J65</f>
        <v>805.08997799999997</v>
      </c>
      <c r="K65" s="243">
        <f>'[1]затраты вспом.'!K65</f>
        <v>0</v>
      </c>
      <c r="L65" s="343">
        <f>'[1]затраты вспом.'!L65</f>
        <v>0</v>
      </c>
      <c r="M65" s="1300">
        <f t="shared" si="64"/>
        <v>805.08997799999997</v>
      </c>
      <c r="N65" s="2239">
        <f>'[1]затраты вспом.'!N65+'[2]затраты вспом.'!N65</f>
        <v>4333.9103838717856</v>
      </c>
      <c r="O65" s="243"/>
      <c r="P65" s="343"/>
      <c r="Q65" s="1300">
        <f t="shared" si="65"/>
        <v>4333.9103838717856</v>
      </c>
      <c r="R65" s="2239">
        <f>'[1]затраты вспом.'!R65+'[2]затраты вспом.'!R65</f>
        <v>484.68236587801516</v>
      </c>
      <c r="S65" s="243"/>
      <c r="T65" s="343"/>
      <c r="U65" s="1300">
        <f t="shared" si="66"/>
        <v>484.68236587801516</v>
      </c>
      <c r="V65" s="2239">
        <f>'[1]затраты вспом.'!V65+'[2]затраты вспом.'!V65</f>
        <v>1519.4863046094849</v>
      </c>
      <c r="W65" s="243"/>
      <c r="X65" s="343"/>
      <c r="Y65" s="1300">
        <f t="shared" si="67"/>
        <v>1519.4863046094849</v>
      </c>
      <c r="Z65" s="2239">
        <f>'[1]затраты вспом.'!Z65+'[2]затраты вспом.'!Z65</f>
        <v>241.3884763520951</v>
      </c>
      <c r="AA65" s="982"/>
      <c r="AB65" s="982"/>
      <c r="AC65" s="981">
        <f>B65+H65+I65+M65+Q65+U65+Y65+Z65+AA65+AB65</f>
        <v>7542.4686478813037</v>
      </c>
      <c r="AD65" s="987"/>
      <c r="AE65" s="2239">
        <f>'[1]затраты вспом.'!AE65+'[2]затраты вспом.'!AE65</f>
        <v>6571.4582264418041</v>
      </c>
      <c r="AF65" s="1077"/>
      <c r="AG65" s="991">
        <f>SUM(AD65:AF65)</f>
        <v>6571.4582264418041</v>
      </c>
      <c r="AH65" s="992"/>
      <c r="AI65" s="993"/>
      <c r="AJ65" s="994"/>
      <c r="AK65" s="2239">
        <f>'[1]затраты вспом.'!AK65+'[2]затраты вспом.'!AK65</f>
        <v>2435.9895676774568</v>
      </c>
      <c r="AL65" s="995"/>
      <c r="AM65" s="996"/>
      <c r="AN65" s="997">
        <f>AC65+AG65+AK65+AL65+AM65</f>
        <v>16549.916442000565</v>
      </c>
    </row>
    <row r="66" spans="1:40" s="998" customFormat="1" ht="9.75" customHeight="1">
      <c r="A66" s="1276" t="s">
        <v>619</v>
      </c>
      <c r="B66" s="2239">
        <f>'[1]затраты вспом.'!B66+'[2]затраты вспом.'!B66</f>
        <v>0</v>
      </c>
      <c r="C66" s="982">
        <f>'[1]затраты вспом.'!C66</f>
        <v>0</v>
      </c>
      <c r="D66" s="982">
        <f>'[1]затраты вспом.'!D66</f>
        <v>0</v>
      </c>
      <c r="E66" s="982">
        <f>'[1]затраты вспом.'!E66</f>
        <v>0</v>
      </c>
      <c r="F66" s="982">
        <f>'[1]затраты вспом.'!F66</f>
        <v>0</v>
      </c>
      <c r="G66" s="982">
        <f>'[1]затраты вспом.'!G66</f>
        <v>0</v>
      </c>
      <c r="H66" s="982">
        <f>'[1]затраты вспом.'!H66</f>
        <v>0</v>
      </c>
      <c r="I66" s="2239">
        <f>'[1]затраты вспом.'!I66+'[2]затраты вспом.'!I66</f>
        <v>0</v>
      </c>
      <c r="J66" s="2239">
        <f>'[1]затраты вспом.'!J66+'[2]затраты вспом.'!J66</f>
        <v>3202.1026304400002</v>
      </c>
      <c r="K66" s="243">
        <f>'[1]затраты вспом.'!K66</f>
        <v>0</v>
      </c>
      <c r="L66" s="343">
        <f>'[1]затраты вспом.'!L66</f>
        <v>0</v>
      </c>
      <c r="M66" s="1300">
        <f t="shared" si="64"/>
        <v>3202.1026304400002</v>
      </c>
      <c r="N66" s="2239">
        <f>'[1]затраты вспом.'!N66+'[2]затраты вспом.'!N66</f>
        <v>2148.9816266228718</v>
      </c>
      <c r="O66" s="243"/>
      <c r="P66" s="343"/>
      <c r="Q66" s="1300">
        <f t="shared" si="65"/>
        <v>2148.9816266228718</v>
      </c>
      <c r="R66" s="2239">
        <f>'[1]затраты вспом.'!R66+'[2]затраты вспом.'!R66</f>
        <v>1007.3040310746608</v>
      </c>
      <c r="S66" s="243"/>
      <c r="T66" s="343"/>
      <c r="U66" s="1300">
        <f t="shared" si="66"/>
        <v>1007.3040310746608</v>
      </c>
      <c r="V66" s="2239">
        <f>'[1]затраты вспом.'!V66+'[2]затраты вспом.'!V66</f>
        <v>2285.9743747381012</v>
      </c>
      <c r="W66" s="243"/>
      <c r="X66" s="343"/>
      <c r="Y66" s="1300">
        <f t="shared" si="67"/>
        <v>2285.9743747381012</v>
      </c>
      <c r="Z66" s="2239">
        <f>'[1]затраты вспом.'!Z66+'[2]затраты вспом.'!Z66</f>
        <v>1069.8984093837241</v>
      </c>
      <c r="AA66" s="982"/>
      <c r="AB66" s="982"/>
      <c r="AC66" s="981">
        <f>B66+H66+I66+M66+Q66+U66+Y66+Z66+AA66+AB66</f>
        <v>9714.2610722593581</v>
      </c>
      <c r="AD66" s="987"/>
      <c r="AE66" s="2239">
        <f>'[1]затраты вспом.'!AE66+'[2]затраты вспом.'!AE66</f>
        <v>8859.6255218224323</v>
      </c>
      <c r="AF66" s="1077"/>
      <c r="AG66" s="991">
        <f>SUM(AD66:AF66)</f>
        <v>8859.6255218224323</v>
      </c>
      <c r="AH66" s="992"/>
      <c r="AI66" s="993"/>
      <c r="AJ66" s="994"/>
      <c r="AK66" s="2239">
        <f>'[1]затраты вспом.'!AK66+'[2]затраты вспом.'!AK66</f>
        <v>3242.6308623701489</v>
      </c>
      <c r="AL66" s="995"/>
      <c r="AM66" s="996"/>
      <c r="AN66" s="997">
        <f>AC66+AG66+AK66+AL66+AM66</f>
        <v>21816.51745645194</v>
      </c>
    </row>
    <row r="67" spans="1:40" s="998" customFormat="1" ht="9.75" customHeight="1" thickBot="1">
      <c r="A67" s="980" t="s">
        <v>408</v>
      </c>
      <c r="B67" s="999">
        <f t="shared" ref="B67:AN67" si="68">SUM(B64:B66)</f>
        <v>347.37597559292772</v>
      </c>
      <c r="C67" s="1000"/>
      <c r="D67" s="1000"/>
      <c r="E67" s="1000"/>
      <c r="F67" s="1000"/>
      <c r="G67" s="1001"/>
      <c r="H67" s="999">
        <f t="shared" si="68"/>
        <v>0</v>
      </c>
      <c r="I67" s="999">
        <f t="shared" ref="I67:L67" si="69">SUM(I64:I66)</f>
        <v>12.822075727050169</v>
      </c>
      <c r="J67" s="992">
        <f t="shared" si="69"/>
        <v>4109.0332642800004</v>
      </c>
      <c r="K67" s="1002">
        <f t="shared" si="69"/>
        <v>0</v>
      </c>
      <c r="L67" s="994">
        <f t="shared" si="69"/>
        <v>0</v>
      </c>
      <c r="M67" s="1300">
        <f t="shared" si="64"/>
        <v>4109.0332642800004</v>
      </c>
      <c r="N67" s="992">
        <f t="shared" ref="N67" si="70">SUM(N64:N66)</f>
        <v>6863.0558380543598</v>
      </c>
      <c r="O67" s="1002"/>
      <c r="P67" s="994"/>
      <c r="Q67" s="1300">
        <f t="shared" si="65"/>
        <v>6863.0558380543598</v>
      </c>
      <c r="R67" s="992">
        <f t="shared" ref="R67" si="71">SUM(R64:R66)</f>
        <v>1517.9256873734621</v>
      </c>
      <c r="S67" s="1002"/>
      <c r="T67" s="994"/>
      <c r="U67" s="1300">
        <f t="shared" si="66"/>
        <v>1517.9256873734621</v>
      </c>
      <c r="V67" s="992">
        <f t="shared" ref="V67" si="72">SUM(V64:V66)</f>
        <v>3887.2675673661579</v>
      </c>
      <c r="W67" s="1002"/>
      <c r="X67" s="994"/>
      <c r="Y67" s="1300">
        <f t="shared" si="67"/>
        <v>3887.2675673661579</v>
      </c>
      <c r="Z67" s="1000">
        <f>'[1]затраты вспом.'!Z67</f>
        <v>921.81760860748204</v>
      </c>
      <c r="AA67" s="1000"/>
      <c r="AB67" s="1000"/>
      <c r="AC67" s="999">
        <f t="shared" si="68"/>
        <v>18061.2442626704</v>
      </c>
      <c r="AD67" s="993">
        <f t="shared" si="68"/>
        <v>0</v>
      </c>
      <c r="AE67" s="1004">
        <f t="shared" si="68"/>
        <v>16531.339451702883</v>
      </c>
      <c r="AF67" s="1003"/>
      <c r="AG67" s="999">
        <f t="shared" si="68"/>
        <v>16531.339451702883</v>
      </c>
      <c r="AH67" s="992"/>
      <c r="AI67" s="993"/>
      <c r="AJ67" s="994"/>
      <c r="AK67" s="1005">
        <f t="shared" si="68"/>
        <v>6201.3567447054593</v>
      </c>
      <c r="AL67" s="1005">
        <f t="shared" si="68"/>
        <v>0</v>
      </c>
      <c r="AM67" s="1006">
        <f t="shared" si="68"/>
        <v>0</v>
      </c>
      <c r="AN67" s="1007">
        <f t="shared" si="68"/>
        <v>40793.940459078738</v>
      </c>
    </row>
    <row r="68" spans="1:40" s="1018" customFormat="1" ht="9.75" customHeight="1" thickBot="1">
      <c r="A68" s="1274" t="s">
        <v>612</v>
      </c>
      <c r="B68" s="1008">
        <f t="shared" ref="B68:P68" si="73">B63+B67</f>
        <v>944.72661298049411</v>
      </c>
      <c r="C68" s="1009">
        <f>C54-C77-C78-C82-C90-C109-C113-C114-C115-C116</f>
        <v>0</v>
      </c>
      <c r="D68" s="1009">
        <f t="shared" ref="D68:F68" si="74">D54-D77-D78-D82-D90-D109-D113-D114-D115-D116</f>
        <v>0</v>
      </c>
      <c r="E68" s="1009">
        <f t="shared" si="74"/>
        <v>0</v>
      </c>
      <c r="F68" s="1009">
        <f t="shared" si="74"/>
        <v>0</v>
      </c>
      <c r="G68" s="1010">
        <f>G54-G77-G78-G82-G90-G109-G113-G114-G115-G116</f>
        <v>0</v>
      </c>
      <c r="H68" s="1008">
        <f t="shared" si="73"/>
        <v>0</v>
      </c>
      <c r="I68" s="1008">
        <f t="shared" ref="I68:L68" si="75">I63+I67</f>
        <v>34.871024550041255</v>
      </c>
      <c r="J68" s="1012">
        <f t="shared" si="75"/>
        <v>4698.5402520000007</v>
      </c>
      <c r="K68" s="1011">
        <f t="shared" si="75"/>
        <v>0</v>
      </c>
      <c r="L68" s="1014">
        <f t="shared" si="75"/>
        <v>0</v>
      </c>
      <c r="M68" s="1008">
        <f t="shared" si="73"/>
        <v>4698.5402520000007</v>
      </c>
      <c r="N68" s="1012">
        <f t="shared" si="73"/>
        <v>10681.437051992443</v>
      </c>
      <c r="O68" s="1011">
        <f t="shared" si="73"/>
        <v>0</v>
      </c>
      <c r="P68" s="1014">
        <f t="shared" si="73"/>
        <v>0</v>
      </c>
      <c r="Q68" s="1008">
        <f t="shared" ref="Q68:Y68" si="76">Q63+Q67</f>
        <v>10681.437051992443</v>
      </c>
      <c r="R68" s="1012">
        <f t="shared" si="76"/>
        <v>1908.2495547887856</v>
      </c>
      <c r="S68" s="1011">
        <f t="shared" si="76"/>
        <v>0</v>
      </c>
      <c r="T68" s="1014">
        <f t="shared" si="76"/>
        <v>0</v>
      </c>
      <c r="U68" s="1008">
        <f t="shared" si="76"/>
        <v>1908.2495547887856</v>
      </c>
      <c r="V68" s="1012">
        <f>V63+V67</f>
        <v>5090.3708524433368</v>
      </c>
      <c r="W68" s="1011">
        <f t="shared" si="76"/>
        <v>0</v>
      </c>
      <c r="X68" s="1014">
        <f t="shared" si="76"/>
        <v>0</v>
      </c>
      <c r="Y68" s="1008">
        <f t="shared" si="76"/>
        <v>5090.3708524433368</v>
      </c>
      <c r="Z68" s="1010">
        <f>Z54-Z82-Z90-Z109-Z113-Z114-Z115-Z116</f>
        <v>1555.7768266380197</v>
      </c>
      <c r="AA68" s="1011">
        <f>AA63+AA67</f>
        <v>0</v>
      </c>
      <c r="AB68" s="1010">
        <f>AB63+AB67</f>
        <v>0</v>
      </c>
      <c r="AC68" s="1008">
        <f>B68+H68+I68+M68+Q68+U68+Y68+Z68+AA68+AB68</f>
        <v>24913.972175393119</v>
      </c>
      <c r="AD68" s="1010">
        <f>AD63+AD67</f>
        <v>0</v>
      </c>
      <c r="AE68" s="1015">
        <f>AE63+AE67</f>
        <v>23221.099233694978</v>
      </c>
      <c r="AF68" s="1013">
        <f>AF63+AF67</f>
        <v>0</v>
      </c>
      <c r="AG68" s="1015">
        <f>SUM(AD68:AE68)</f>
        <v>23221.099233694978</v>
      </c>
      <c r="AH68" s="1016"/>
      <c r="AI68" s="1016"/>
      <c r="AJ68" s="1017"/>
      <c r="AK68" s="1008">
        <f>AK63+AK67</f>
        <v>8709.0033472603682</v>
      </c>
      <c r="AL68" s="1008">
        <f>AL63+AL67</f>
        <v>0</v>
      </c>
      <c r="AM68" s="1009">
        <f>AM63+AM67</f>
        <v>0</v>
      </c>
      <c r="AN68" s="1008">
        <f>AC68+AG68+AK68+AL68+AM68</f>
        <v>56844.074756348462</v>
      </c>
    </row>
    <row r="69" spans="1:40" s="1018" customFormat="1" ht="9.75" customHeight="1">
      <c r="A69" s="1275" t="s">
        <v>613</v>
      </c>
      <c r="B69" s="240"/>
      <c r="C69" s="1043"/>
      <c r="D69" s="1043"/>
      <c r="E69" s="1043"/>
      <c r="F69" s="1043"/>
      <c r="G69" s="1044"/>
      <c r="H69" s="984">
        <f t="shared" ref="H69:H75" si="77">SUM(C69:G69)</f>
        <v>0</v>
      </c>
      <c r="I69" s="2239">
        <f>'[1]затраты вспом.'!I69+'[2]затраты вспом.'!I69</f>
        <v>2.4293480436528743</v>
      </c>
      <c r="J69" s="2239">
        <f>'[1]затраты вспом.'!J69+'[2]затраты вспом.'!J69</f>
        <v>8.3132279999999987</v>
      </c>
      <c r="K69" s="243">
        <f>'[1]затраты вспом.'!K69</f>
        <v>0</v>
      </c>
      <c r="L69" s="343">
        <f>'[1]затраты вспом.'!L69</f>
        <v>0</v>
      </c>
      <c r="M69" s="981">
        <f t="shared" ref="M69:M72" si="78">SUM(J69:L69)</f>
        <v>8.3132279999999987</v>
      </c>
      <c r="N69" s="1217"/>
      <c r="O69" s="2239">
        <f>'[1]затраты вспом.'!O69+'[2]затраты вспом.'!O69</f>
        <v>8.0599831685803451</v>
      </c>
      <c r="P69" s="343"/>
      <c r="Q69" s="991">
        <f t="shared" ref="Q69:Q75" si="79">SUM(N69:P69)</f>
        <v>8.0599831685803451</v>
      </c>
      <c r="R69" s="1045"/>
      <c r="S69" s="2239">
        <f>'[1]затраты вспом.'!S69+'[2]затраты вспом.'!S69</f>
        <v>0.51347181019346566</v>
      </c>
      <c r="T69" s="1045"/>
      <c r="U69" s="986">
        <f t="shared" ref="U69:U75" si="80">SUM(R69:T69)</f>
        <v>0.51347181019346566</v>
      </c>
      <c r="V69" s="1046"/>
      <c r="W69" s="2239">
        <f>'[1]затраты вспом.'!W69+'[2]затраты вспом.'!W69</f>
        <v>2.9668482308221997</v>
      </c>
      <c r="X69" s="1047"/>
      <c r="Y69" s="990">
        <f>SUM(V69:X69)</f>
        <v>2.9668482308221997</v>
      </c>
      <c r="Z69" s="1045"/>
      <c r="AA69" s="1048"/>
      <c r="AB69" s="1045"/>
      <c r="AC69" s="991">
        <f>B69+H69+I69+M69+Q69+U69+Y69+Z69+AA69+AB69</f>
        <v>22.282879253248886</v>
      </c>
      <c r="AD69" s="1045"/>
      <c r="AE69" s="1046"/>
      <c r="AF69" s="2239">
        <f>'[1]затраты вспом.'!AF69+'[2]затраты вспом.'!AF69</f>
        <v>69.338777133591734</v>
      </c>
      <c r="AG69" s="991">
        <f>SUM(AD69:AF69)</f>
        <v>69.338777133591734</v>
      </c>
      <c r="AH69" s="1049"/>
      <c r="AI69" s="1016"/>
      <c r="AJ69" s="1017"/>
      <c r="AK69" s="2239">
        <f>'[1]затраты вспом.'!AK69+'[2]затраты вспом.'!AK69</f>
        <v>37.633057451491986</v>
      </c>
      <c r="AL69" s="1050"/>
      <c r="AM69" s="1045"/>
      <c r="AN69" s="1039">
        <f>AC69+AG69+AK69+AL69+AM69</f>
        <v>129.25471383833261</v>
      </c>
    </row>
    <row r="70" spans="1:40" s="1018" customFormat="1" ht="9.75" customHeight="1">
      <c r="A70" s="1275" t="s">
        <v>622</v>
      </c>
      <c r="B70" s="240"/>
      <c r="C70" s="982"/>
      <c r="D70" s="982"/>
      <c r="E70" s="982"/>
      <c r="F70" s="982"/>
      <c r="G70" s="983"/>
      <c r="H70" s="984">
        <f t="shared" si="77"/>
        <v>0</v>
      </c>
      <c r="I70" s="2239">
        <f>'[1]затраты вспом.'!I70+'[2]затраты вспом.'!I70</f>
        <v>44.53804746696936</v>
      </c>
      <c r="J70" s="2239">
        <f>'[1]затраты вспом.'!J70+'[2]затраты вспом.'!J70</f>
        <v>960.37627516038447</v>
      </c>
      <c r="K70" s="243">
        <f>'[1]затраты вспом.'!K70</f>
        <v>0</v>
      </c>
      <c r="L70" s="343">
        <f>'[1]затраты вспом.'!L70</f>
        <v>0</v>
      </c>
      <c r="M70" s="981">
        <f t="shared" si="78"/>
        <v>960.37627516038447</v>
      </c>
      <c r="N70" s="1217"/>
      <c r="O70" s="2239">
        <f>'[1]затраты вспом.'!O70+'[2]затраты вспом.'!O70</f>
        <v>875.74820347834793</v>
      </c>
      <c r="P70" s="343"/>
      <c r="Q70" s="991">
        <f t="shared" si="79"/>
        <v>875.74820347834793</v>
      </c>
      <c r="R70" s="1051"/>
      <c r="S70" s="2239">
        <f>'[1]затраты вспом.'!S70+'[2]затраты вспом.'!S70</f>
        <v>55.719460108519769</v>
      </c>
      <c r="T70" s="1051"/>
      <c r="U70" s="986">
        <f t="shared" si="80"/>
        <v>55.719460108519769</v>
      </c>
      <c r="V70" s="1053"/>
      <c r="W70" s="2239">
        <f>'[1]затраты вспом.'!W70+'[2]затраты вспом.'!W70</f>
        <v>320.24471447014707</v>
      </c>
      <c r="X70" s="1054"/>
      <c r="Y70" s="990">
        <f>SUM(V70:X70)</f>
        <v>320.24471447014707</v>
      </c>
      <c r="Z70" s="1051"/>
      <c r="AA70" s="1055"/>
      <c r="AB70" s="1051"/>
      <c r="AC70" s="981">
        <f>B70+H70+I70+M70+Q70+U70+Y70+Z70+AA70+AB70</f>
        <v>2256.6267006843686</v>
      </c>
      <c r="AD70" s="1051"/>
      <c r="AE70" s="1053"/>
      <c r="AF70" s="2239">
        <f>'[1]затраты вспом.'!AF70+'[2]затраты вспом.'!AF70</f>
        <v>2106.9902172495176</v>
      </c>
      <c r="AG70" s="991">
        <f>SUM(AD70:AF70)</f>
        <v>2106.9902172495176</v>
      </c>
      <c r="AH70" s="1049"/>
      <c r="AI70" s="1016"/>
      <c r="AJ70" s="1017"/>
      <c r="AK70" s="2239">
        <f>'[1]затраты вспом.'!AK70+'[2]затраты вспом.'!AK70</f>
        <v>1134.460745729662</v>
      </c>
      <c r="AL70" s="1056"/>
      <c r="AM70" s="1057"/>
      <c r="AN70" s="1039">
        <f>AC70+AG70+AK70+AL70+AM70</f>
        <v>5498.0776636635492</v>
      </c>
    </row>
    <row r="71" spans="1:40" s="1018" customFormat="1" ht="9.75" customHeight="1">
      <c r="A71" s="1275" t="s">
        <v>615</v>
      </c>
      <c r="B71" s="240"/>
      <c r="C71" s="982"/>
      <c r="D71" s="982"/>
      <c r="E71" s="982"/>
      <c r="F71" s="982"/>
      <c r="G71" s="983"/>
      <c r="H71" s="984">
        <f t="shared" si="77"/>
        <v>0</v>
      </c>
      <c r="I71" s="2239">
        <f>'[1]затраты вспом.'!I71+'[2]затраты вспом.'!I71</f>
        <v>13.766305580699619</v>
      </c>
      <c r="J71" s="2239">
        <f>'[1]затраты вспом.'!J71+'[2]затраты вспом.'!J71</f>
        <v>244.18580138364933</v>
      </c>
      <c r="K71" s="243">
        <f>'[1]затраты вспом.'!K71</f>
        <v>0</v>
      </c>
      <c r="L71" s="343">
        <f>'[1]затраты вспом.'!L71</f>
        <v>0</v>
      </c>
      <c r="M71" s="981">
        <f t="shared" si="78"/>
        <v>244.18580138364933</v>
      </c>
      <c r="N71" s="1217"/>
      <c r="O71" s="2239">
        <f>'[1]затраты вспом.'!O71+'[2]затраты вспом.'!O71</f>
        <v>225.79764908222205</v>
      </c>
      <c r="P71" s="343"/>
      <c r="Q71" s="991">
        <f t="shared" si="79"/>
        <v>225.79764908222205</v>
      </c>
      <c r="R71" s="1051"/>
      <c r="S71" s="2239">
        <f>'[1]затраты вспом.'!S71+'[2]затраты вспом.'!S71</f>
        <v>14.311774853954992</v>
      </c>
      <c r="T71" s="1051"/>
      <c r="U71" s="986">
        <f t="shared" si="80"/>
        <v>14.311774853954992</v>
      </c>
      <c r="V71" s="1053"/>
      <c r="W71" s="2239">
        <f>'[1]затраты вспом.'!W71+'[2]затраты вспом.'!W71</f>
        <v>82.315497158319701</v>
      </c>
      <c r="X71" s="1054"/>
      <c r="Y71" s="990">
        <f>SUM(V71:X71)</f>
        <v>82.315497158319701</v>
      </c>
      <c r="Z71" s="1058"/>
      <c r="AA71" s="1055"/>
      <c r="AB71" s="1052"/>
      <c r="AC71" s="981">
        <f>B71+H71+I71+M71+Q71+U71+Y71+Z71+AA71+AB71</f>
        <v>580.37702805884567</v>
      </c>
      <c r="AD71" s="1051"/>
      <c r="AE71" s="1053"/>
      <c r="AF71" s="2239">
        <f>'[1]затраты вспом.'!AF71+'[2]затраты вспом.'!AF71</f>
        <v>1475.0790620245307</v>
      </c>
      <c r="AG71" s="991">
        <f>SUM(AD71:AF71)</f>
        <v>1475.0790620245307</v>
      </c>
      <c r="AH71" s="1049"/>
      <c r="AI71" s="1016"/>
      <c r="AJ71" s="1017"/>
      <c r="AK71" s="2239">
        <f>'[1]затраты вспом.'!AK71+'[2]затраты вспом.'!AK71</f>
        <v>799.93336546381556</v>
      </c>
      <c r="AL71" s="1056"/>
      <c r="AM71" s="1057"/>
      <c r="AN71" s="1039">
        <f>AC71+AG71+AK71+AL71+AM71</f>
        <v>2855.3894555471916</v>
      </c>
    </row>
    <row r="72" spans="1:40" s="1018" customFormat="1" ht="9.75" customHeight="1">
      <c r="A72" s="1275" t="s">
        <v>616</v>
      </c>
      <c r="B72" s="240"/>
      <c r="C72" s="982"/>
      <c r="D72" s="982"/>
      <c r="E72" s="982"/>
      <c r="F72" s="982"/>
      <c r="G72" s="983"/>
      <c r="H72" s="984">
        <f t="shared" si="77"/>
        <v>0</v>
      </c>
      <c r="I72" s="2239">
        <f>'[1]затраты вспом.'!I72+'[2]затраты вспом.'!I72</f>
        <v>95.959247724288517</v>
      </c>
      <c r="J72" s="2239">
        <f>'[1]затраты вспом.'!J72+'[2]затраты вспом.'!J72</f>
        <v>160.18845044923685</v>
      </c>
      <c r="K72" s="243">
        <f>'[1]затраты вспом.'!K72</f>
        <v>0</v>
      </c>
      <c r="L72" s="343">
        <f>'[1]затраты вспом.'!L72</f>
        <v>0</v>
      </c>
      <c r="M72" s="981">
        <f t="shared" si="78"/>
        <v>160.18845044923685</v>
      </c>
      <c r="N72" s="1217"/>
      <c r="O72" s="2239">
        <f>'[1]затраты вспом.'!O72+'[2]затраты вспом.'!O72</f>
        <v>2436.2324364026099</v>
      </c>
      <c r="P72" s="343"/>
      <c r="Q72" s="991">
        <f t="shared" si="79"/>
        <v>2436.2324364026099</v>
      </c>
      <c r="R72" s="1051"/>
      <c r="S72" s="2239">
        <f>'[1]затраты вспом.'!S72+'[2]затраты вспом.'!S72</f>
        <v>153.82718277714196</v>
      </c>
      <c r="T72" s="1051"/>
      <c r="U72" s="986">
        <f t="shared" si="80"/>
        <v>153.82718277714196</v>
      </c>
      <c r="V72" s="1053"/>
      <c r="W72" s="2239">
        <f>'[1]затраты вспом.'!W72+'[2]затраты вспом.'!W72</f>
        <v>887.75291530856805</v>
      </c>
      <c r="X72" s="1054"/>
      <c r="Y72" s="990">
        <f>SUM(V72:X72)</f>
        <v>887.75291530856805</v>
      </c>
      <c r="Z72" s="1058"/>
      <c r="AA72" s="1055"/>
      <c r="AB72" s="1052"/>
      <c r="AC72" s="981">
        <f>B72+H72+I72+M72+Q72+U72+Y72+Z72+AA72+AB72</f>
        <v>3733.9602326618451</v>
      </c>
      <c r="AD72" s="1051"/>
      <c r="AE72" s="1053"/>
      <c r="AF72" s="2239">
        <f>'[1]затраты вспом.'!AF72+'[2]затраты вспом.'!AF72</f>
        <v>4181.9896196707186</v>
      </c>
      <c r="AG72" s="991">
        <f>SUM(AD72:AF72)</f>
        <v>4181.9896196707186</v>
      </c>
      <c r="AH72" s="1049"/>
      <c r="AI72" s="1016"/>
      <c r="AJ72" s="1017"/>
      <c r="AK72" s="2239">
        <f>'[1]затраты вспом.'!AK72+'[2]затраты вспом.'!AK72</f>
        <v>2237.609101496229</v>
      </c>
      <c r="AL72" s="1056"/>
      <c r="AM72" s="1057"/>
      <c r="AN72" s="1039">
        <f>AC72+AG72+AK72+AL72+AM72</f>
        <v>10153.558953828793</v>
      </c>
    </row>
    <row r="73" spans="1:40" s="1018" customFormat="1" ht="9.75" customHeight="1">
      <c r="A73" s="980" t="s">
        <v>407</v>
      </c>
      <c r="B73" s="1056">
        <f>SUM(B69:B72)</f>
        <v>0</v>
      </c>
      <c r="C73" s="1051">
        <f t="shared" ref="C73:AN73" si="81">SUM(C69:C72)</f>
        <v>0</v>
      </c>
      <c r="D73" s="1055">
        <f t="shared" si="81"/>
        <v>0</v>
      </c>
      <c r="E73" s="1055">
        <f t="shared" si="81"/>
        <v>0</v>
      </c>
      <c r="F73" s="1055">
        <f t="shared" si="81"/>
        <v>0</v>
      </c>
      <c r="G73" s="1051">
        <f t="shared" si="81"/>
        <v>0</v>
      </c>
      <c r="H73" s="1056">
        <f t="shared" si="81"/>
        <v>0</v>
      </c>
      <c r="I73" s="1056">
        <f>SUM(I69:I72)</f>
        <v>156.69294881561035</v>
      </c>
      <c r="J73" s="1059">
        <f t="shared" ref="J73:L73" si="82">SUM(J69:J72)</f>
        <v>1373.0637549932705</v>
      </c>
      <c r="K73" s="1055">
        <f t="shared" si="82"/>
        <v>0</v>
      </c>
      <c r="L73" s="1057">
        <f t="shared" si="82"/>
        <v>0</v>
      </c>
      <c r="M73" s="1056">
        <f t="shared" si="81"/>
        <v>1373.0637549932705</v>
      </c>
      <c r="N73" s="1059"/>
      <c r="O73" s="1055">
        <f t="shared" ref="O73" si="83">SUM(O69:O72)</f>
        <v>3545.8382721317603</v>
      </c>
      <c r="P73" s="1057"/>
      <c r="Q73" s="1056">
        <f t="shared" si="81"/>
        <v>3545.8382721317603</v>
      </c>
      <c r="R73" s="1051">
        <f t="shared" si="81"/>
        <v>0</v>
      </c>
      <c r="S73" s="1055">
        <f t="shared" si="81"/>
        <v>224.37188954981019</v>
      </c>
      <c r="T73" s="1051">
        <f t="shared" si="81"/>
        <v>0</v>
      </c>
      <c r="U73" s="1059">
        <f t="shared" si="81"/>
        <v>224.37188954981019</v>
      </c>
      <c r="V73" s="1059">
        <f t="shared" si="81"/>
        <v>0</v>
      </c>
      <c r="W73" s="1055">
        <f t="shared" ref="W73" si="84">SUM(W69:W72)</f>
        <v>1293.2799751678572</v>
      </c>
      <c r="X73" s="1057">
        <f t="shared" si="81"/>
        <v>0</v>
      </c>
      <c r="Y73" s="1057">
        <f t="shared" si="81"/>
        <v>1293.2799751678572</v>
      </c>
      <c r="Z73" s="1051">
        <f t="shared" si="81"/>
        <v>0</v>
      </c>
      <c r="AA73" s="1055">
        <f t="shared" si="81"/>
        <v>0</v>
      </c>
      <c r="AB73" s="1051">
        <f t="shared" si="81"/>
        <v>0</v>
      </c>
      <c r="AC73" s="1056">
        <f t="shared" si="81"/>
        <v>6593.2468406583084</v>
      </c>
      <c r="AD73" s="1051">
        <f t="shared" si="81"/>
        <v>0</v>
      </c>
      <c r="AE73" s="1053">
        <f t="shared" si="81"/>
        <v>0</v>
      </c>
      <c r="AF73" s="1054">
        <f>SUM(AF69:AF72)</f>
        <v>7833.3976760783589</v>
      </c>
      <c r="AG73" s="1056">
        <f t="shared" si="81"/>
        <v>7833.3976760783589</v>
      </c>
      <c r="AH73" s="1049"/>
      <c r="AI73" s="1016"/>
      <c r="AJ73" s="1017"/>
      <c r="AK73" s="1057">
        <f t="shared" si="81"/>
        <v>4209.6362701411981</v>
      </c>
      <c r="AL73" s="1056">
        <f t="shared" si="81"/>
        <v>0</v>
      </c>
      <c r="AM73" s="1057">
        <f t="shared" si="81"/>
        <v>0</v>
      </c>
      <c r="AN73" s="1060">
        <f t="shared" si="81"/>
        <v>18636.280786877865</v>
      </c>
    </row>
    <row r="74" spans="1:40" s="1018" customFormat="1" ht="9.75" customHeight="1">
      <c r="A74" s="1275" t="s">
        <v>620</v>
      </c>
      <c r="B74" s="240"/>
      <c r="C74" s="982"/>
      <c r="D74" s="982"/>
      <c r="E74" s="982"/>
      <c r="F74" s="982"/>
      <c r="G74" s="983"/>
      <c r="H74" s="984">
        <f t="shared" si="77"/>
        <v>0</v>
      </c>
      <c r="I74" s="2239">
        <f>'[1]затраты вспом.'!I74+'[2]затраты вспом.'!I74</f>
        <v>24.698371777137552</v>
      </c>
      <c r="J74" s="2239">
        <f>'[1]затраты вспом.'!J74+'[2]затраты вспом.'!J74</f>
        <v>375.75483696541141</v>
      </c>
      <c r="K74" s="243">
        <f>'[1]затраты вспом.'!K74</f>
        <v>0</v>
      </c>
      <c r="L74" s="343">
        <f>'[1]затраты вспом.'!L74</f>
        <v>0</v>
      </c>
      <c r="M74" s="981">
        <f t="shared" ref="M74:M75" si="85">SUM(J74:L74)</f>
        <v>375.75483696541141</v>
      </c>
      <c r="N74" s="1217"/>
      <c r="O74" s="2239">
        <f>'[1]затраты вспом.'!O74+'[2]затраты вспом.'!O74</f>
        <v>420.75448733192042</v>
      </c>
      <c r="P74" s="343"/>
      <c r="Q74" s="991">
        <f t="shared" si="79"/>
        <v>420.75448733192042</v>
      </c>
      <c r="R74" s="1051"/>
      <c r="S74" s="2239">
        <f>'[1]затраты вспом.'!S74+'[2]затраты вспом.'!S74</f>
        <v>26.604144491873829</v>
      </c>
      <c r="T74" s="1051"/>
      <c r="U74" s="986">
        <f t="shared" si="80"/>
        <v>26.604144491873829</v>
      </c>
      <c r="V74" s="1059"/>
      <c r="W74" s="2239">
        <f>'[1]затраты вспом.'!W74+'[2]затраты вспом.'!W74</f>
        <v>154.328973325226</v>
      </c>
      <c r="X74" s="1057"/>
      <c r="Y74" s="990">
        <f>SUM(V74:X74)</f>
        <v>154.328973325226</v>
      </c>
      <c r="Z74" s="1051"/>
      <c r="AA74" s="1055"/>
      <c r="AB74" s="1051"/>
      <c r="AC74" s="981">
        <f>B74+H74+I74+M74+Q74+U74+Y74+Z74+AA74+AB74</f>
        <v>1002.1408138915692</v>
      </c>
      <c r="AD74" s="1051"/>
      <c r="AE74" s="1053"/>
      <c r="AF74" s="2239">
        <f>'[1]затраты вспом.'!AF74+'[2]затраты вспом.'!AF74</f>
        <v>1628.2320908097786</v>
      </c>
      <c r="AG74" s="991">
        <f>SUM(AD74:AF74)</f>
        <v>1628.2320908097786</v>
      </c>
      <c r="AH74" s="1049"/>
      <c r="AI74" s="1016"/>
      <c r="AJ74" s="1017"/>
      <c r="AK74" s="2239">
        <f>'[1]затраты вспом.'!AK74+'[2]затраты вспом.'!AK74</f>
        <v>875.00792152421013</v>
      </c>
      <c r="AL74" s="1056"/>
      <c r="AM74" s="1057"/>
      <c r="AN74" s="1039">
        <f>AC74+AG74+AK74+AL74+AM74</f>
        <v>3505.3808262255579</v>
      </c>
    </row>
    <row r="75" spans="1:40" s="1018" customFormat="1" ht="9.75" customHeight="1">
      <c r="A75" s="1275" t="s">
        <v>621</v>
      </c>
      <c r="B75" s="240"/>
      <c r="C75" s="982"/>
      <c r="D75" s="982"/>
      <c r="E75" s="982"/>
      <c r="F75" s="982"/>
      <c r="G75" s="983"/>
      <c r="H75" s="984">
        <f t="shared" si="77"/>
        <v>0</v>
      </c>
      <c r="I75" s="2239">
        <f>'[1]затраты вспом.'!I75+'[2]затраты вспом.'!I75</f>
        <v>223.50002001606441</v>
      </c>
      <c r="J75" s="2239">
        <f>'[1]затраты вспом.'!J75+'[2]затраты вспом.'!J75</f>
        <v>1478.5270952257599</v>
      </c>
      <c r="K75" s="243">
        <f>'[1]затраты вспом.'!K75</f>
        <v>0</v>
      </c>
      <c r="L75" s="343">
        <f>'[1]затраты вспом.'!L75</f>
        <v>0</v>
      </c>
      <c r="M75" s="981">
        <f t="shared" si="85"/>
        <v>1478.5270952257599</v>
      </c>
      <c r="N75" s="1217"/>
      <c r="O75" s="2239">
        <f>'[1]затраты вспом.'!O75+'[2]затраты вспом.'!O75</f>
        <v>4163.4027005363187</v>
      </c>
      <c r="P75" s="343"/>
      <c r="Q75" s="991">
        <f t="shared" si="79"/>
        <v>4163.4027005363187</v>
      </c>
      <c r="R75" s="1051"/>
      <c r="S75" s="2239">
        <f>'[1]затраты вспом.'!S75+'[2]затраты вспом.'!S75</f>
        <v>265.39685719625049</v>
      </c>
      <c r="T75" s="1051"/>
      <c r="U75" s="986">
        <f t="shared" si="80"/>
        <v>265.39685719625049</v>
      </c>
      <c r="V75" s="1059"/>
      <c r="W75" s="2239">
        <f>'[1]затраты вспом.'!W75+'[2]затраты вспом.'!W75</f>
        <v>1529.2800515069175</v>
      </c>
      <c r="X75" s="1057"/>
      <c r="Y75" s="990">
        <f>SUM(V75:X75)</f>
        <v>1529.2800515069175</v>
      </c>
      <c r="Z75" s="1051"/>
      <c r="AA75" s="1055"/>
      <c r="AB75" s="1051"/>
      <c r="AC75" s="981">
        <f>B75+H75+I75+M75+Q75+U75+Y75+Z75+AA75+AB75</f>
        <v>7660.1067244813112</v>
      </c>
      <c r="AD75" s="1051"/>
      <c r="AE75" s="1053"/>
      <c r="AF75" s="2239">
        <f>'[1]затраты вспом.'!AF75+'[2]затраты вспом.'!AF75</f>
        <v>6499.3959926479511</v>
      </c>
      <c r="AG75" s="991">
        <f>SUM(AD75:AF75)</f>
        <v>6499.3959926479511</v>
      </c>
      <c r="AH75" s="1049"/>
      <c r="AI75" s="1016"/>
      <c r="AJ75" s="1017"/>
      <c r="AK75" s="2239">
        <f>'[1]затраты вспом.'!AK75+'[2]затраты вспом.'!AK75</f>
        <v>3503.1676870580168</v>
      </c>
      <c r="AL75" s="1056"/>
      <c r="AM75" s="1057"/>
      <c r="AN75" s="1039">
        <f>AC75+AG75+AK75+AL75+AM75</f>
        <v>17662.67040418728</v>
      </c>
    </row>
    <row r="76" spans="1:40" s="1018" customFormat="1" ht="9.75" customHeight="1">
      <c r="A76" s="980" t="s">
        <v>408</v>
      </c>
      <c r="B76" s="1056">
        <f>SUM(B74:B75)</f>
        <v>0</v>
      </c>
      <c r="C76" s="1051">
        <f t="shared" ref="C76:AN76" si="86">SUM(C74:C75)</f>
        <v>0</v>
      </c>
      <c r="D76" s="1055">
        <f t="shared" si="86"/>
        <v>0</v>
      </c>
      <c r="E76" s="1055">
        <f t="shared" si="86"/>
        <v>0</v>
      </c>
      <c r="F76" s="1055">
        <f t="shared" si="86"/>
        <v>0</v>
      </c>
      <c r="G76" s="1051">
        <f t="shared" si="86"/>
        <v>0</v>
      </c>
      <c r="H76" s="1056">
        <f t="shared" si="86"/>
        <v>0</v>
      </c>
      <c r="I76" s="1056">
        <f>SUM(I74:I75)</f>
        <v>248.19839179320195</v>
      </c>
      <c r="J76" s="1059">
        <f t="shared" ref="J76:L76" si="87">SUM(J74:J75)</f>
        <v>1854.2819321911713</v>
      </c>
      <c r="K76" s="1055">
        <f t="shared" si="87"/>
        <v>0</v>
      </c>
      <c r="L76" s="1057">
        <f t="shared" si="87"/>
        <v>0</v>
      </c>
      <c r="M76" s="1056">
        <f t="shared" si="86"/>
        <v>1854.2819321911713</v>
      </c>
      <c r="N76" s="1059"/>
      <c r="O76" s="1055">
        <f t="shared" ref="O76" si="88">SUM(O74:O75)</f>
        <v>4584.1571878682389</v>
      </c>
      <c r="P76" s="1057"/>
      <c r="Q76" s="1056">
        <f t="shared" si="86"/>
        <v>4584.1571878682389</v>
      </c>
      <c r="R76" s="1051">
        <f t="shared" si="86"/>
        <v>0</v>
      </c>
      <c r="S76" s="1055">
        <f t="shared" si="86"/>
        <v>292.00100168812435</v>
      </c>
      <c r="T76" s="1051">
        <f t="shared" si="86"/>
        <v>0</v>
      </c>
      <c r="U76" s="1059">
        <f t="shared" si="86"/>
        <v>292.00100168812435</v>
      </c>
      <c r="V76" s="1059">
        <f t="shared" si="86"/>
        <v>0</v>
      </c>
      <c r="W76" s="1055">
        <f t="shared" ref="W76" si="89">SUM(W74:W75)</f>
        <v>1683.6090248321434</v>
      </c>
      <c r="X76" s="1057">
        <f t="shared" si="86"/>
        <v>0</v>
      </c>
      <c r="Y76" s="1057">
        <f t="shared" si="86"/>
        <v>1683.6090248321434</v>
      </c>
      <c r="Z76" s="1051">
        <f t="shared" si="86"/>
        <v>0</v>
      </c>
      <c r="AA76" s="1055">
        <f t="shared" si="86"/>
        <v>0</v>
      </c>
      <c r="AB76" s="1051">
        <f t="shared" si="86"/>
        <v>0</v>
      </c>
      <c r="AC76" s="1056">
        <f t="shared" si="86"/>
        <v>8662.2475383728797</v>
      </c>
      <c r="AD76" s="1051">
        <f t="shared" si="86"/>
        <v>0</v>
      </c>
      <c r="AE76" s="1053">
        <f t="shared" si="86"/>
        <v>0</v>
      </c>
      <c r="AF76" s="1054">
        <f t="shared" si="86"/>
        <v>8127.6280834577301</v>
      </c>
      <c r="AG76" s="1056">
        <f t="shared" si="86"/>
        <v>8127.6280834577301</v>
      </c>
      <c r="AH76" s="1049"/>
      <c r="AI76" s="1016"/>
      <c r="AJ76" s="1017"/>
      <c r="AK76" s="1057">
        <f t="shared" si="86"/>
        <v>4378.1756085822271</v>
      </c>
      <c r="AL76" s="1056">
        <f t="shared" si="86"/>
        <v>0</v>
      </c>
      <c r="AM76" s="1057">
        <f t="shared" si="86"/>
        <v>0</v>
      </c>
      <c r="AN76" s="1060">
        <f t="shared" si="86"/>
        <v>21168.051230412839</v>
      </c>
    </row>
    <row r="77" spans="1:40" s="1018" customFormat="1" ht="9.75" customHeight="1">
      <c r="A77" s="1061" t="s">
        <v>457</v>
      </c>
      <c r="B77" s="1008">
        <f>B73+B76</f>
        <v>0</v>
      </c>
      <c r="C77" s="1010">
        <v>0</v>
      </c>
      <c r="D77" s="1011">
        <f t="shared" ref="D77:AN77" si="90">D73+D76</f>
        <v>0</v>
      </c>
      <c r="E77" s="1011">
        <f t="shared" si="90"/>
        <v>0</v>
      </c>
      <c r="F77" s="1011">
        <f t="shared" si="90"/>
        <v>0</v>
      </c>
      <c r="G77" s="1010">
        <f t="shared" si="90"/>
        <v>0</v>
      </c>
      <c r="H77" s="1008">
        <f t="shared" si="90"/>
        <v>0</v>
      </c>
      <c r="I77" s="1008">
        <f>I73+I76</f>
        <v>404.8913406088123</v>
      </c>
      <c r="J77" s="1012">
        <f t="shared" ref="J77:L77" si="91">J73+J76</f>
        <v>3227.3456871844419</v>
      </c>
      <c r="K77" s="1011">
        <f t="shared" si="91"/>
        <v>0</v>
      </c>
      <c r="L77" s="1014">
        <f t="shared" si="91"/>
        <v>0</v>
      </c>
      <c r="M77" s="1008">
        <f t="shared" si="90"/>
        <v>3227.3456871844419</v>
      </c>
      <c r="N77" s="1012">
        <f t="shared" ref="N77" si="92">N73+N76</f>
        <v>0</v>
      </c>
      <c r="O77" s="1011">
        <f t="shared" ref="O77" si="93">O73+O76</f>
        <v>8129.9954599999992</v>
      </c>
      <c r="P77" s="1014">
        <f t="shared" ref="P77" si="94">P73+P76</f>
        <v>0</v>
      </c>
      <c r="Q77" s="1008">
        <f t="shared" si="90"/>
        <v>8129.9954599999992</v>
      </c>
      <c r="R77" s="1010">
        <f t="shared" si="90"/>
        <v>0</v>
      </c>
      <c r="S77" s="1011">
        <f t="shared" si="90"/>
        <v>516.37289123793448</v>
      </c>
      <c r="T77" s="1010">
        <f t="shared" si="90"/>
        <v>0</v>
      </c>
      <c r="U77" s="1012">
        <f t="shared" si="90"/>
        <v>516.37289123793448</v>
      </c>
      <c r="V77" s="1012">
        <f t="shared" si="90"/>
        <v>0</v>
      </c>
      <c r="W77" s="1011">
        <f t="shared" ref="W77" si="95">W73+W76</f>
        <v>2976.8890000000006</v>
      </c>
      <c r="X77" s="1014">
        <f t="shared" si="90"/>
        <v>0</v>
      </c>
      <c r="Y77" s="1014">
        <f t="shared" si="90"/>
        <v>2976.8890000000006</v>
      </c>
      <c r="Z77" s="1010">
        <f t="shared" si="90"/>
        <v>0</v>
      </c>
      <c r="AA77" s="1011">
        <f t="shared" si="90"/>
        <v>0</v>
      </c>
      <c r="AB77" s="1010">
        <f t="shared" si="90"/>
        <v>0</v>
      </c>
      <c r="AC77" s="1008">
        <f t="shared" si="90"/>
        <v>15255.494379031188</v>
      </c>
      <c r="AD77" s="1010">
        <f t="shared" si="90"/>
        <v>0</v>
      </c>
      <c r="AE77" s="1015">
        <f t="shared" si="90"/>
        <v>0</v>
      </c>
      <c r="AF77" s="1013">
        <f t="shared" si="90"/>
        <v>15961.025759536089</v>
      </c>
      <c r="AG77" s="1008">
        <f t="shared" si="90"/>
        <v>15961.025759536089</v>
      </c>
      <c r="AH77" s="1049"/>
      <c r="AI77" s="1016"/>
      <c r="AJ77" s="1017"/>
      <c r="AK77" s="1014">
        <f t="shared" si="90"/>
        <v>8587.8118787234253</v>
      </c>
      <c r="AL77" s="1008">
        <f t="shared" si="90"/>
        <v>0</v>
      </c>
      <c r="AM77" s="1014">
        <f t="shared" si="90"/>
        <v>0</v>
      </c>
      <c r="AN77" s="1008">
        <f t="shared" si="90"/>
        <v>39804.332017290704</v>
      </c>
    </row>
    <row r="78" spans="1:40" s="1018" customFormat="1" ht="9.75" customHeight="1" thickBot="1">
      <c r="A78" s="1042" t="s">
        <v>448</v>
      </c>
      <c r="B78" s="2239">
        <f>'[1]затраты вспом.'!B78+'[2]затраты вспом.'!B78</f>
        <v>1159.5369802672801</v>
      </c>
      <c r="C78" s="982"/>
      <c r="D78" s="982"/>
      <c r="E78" s="982"/>
      <c r="F78" s="982"/>
      <c r="G78" s="983"/>
      <c r="H78" s="984">
        <f>SUM(C78:G78)</f>
        <v>0</v>
      </c>
      <c r="I78" s="2239">
        <f>'[1]затраты вспом.'!I78+'[2]затраты вспом.'!I78</f>
        <v>2460.3445099195778</v>
      </c>
      <c r="J78" s="2239">
        <f>'[1]затраты вспом.'!J78+'[2]затраты вспом.'!J78</f>
        <v>5870.4548134841943</v>
      </c>
      <c r="K78" s="243">
        <f>'[1]затраты вспом.'!K78</f>
        <v>0</v>
      </c>
      <c r="L78" s="343">
        <f>'[1]затраты вспом.'!L78</f>
        <v>55.674676558560002</v>
      </c>
      <c r="M78" s="981">
        <f>SUM(J78:L78)</f>
        <v>5926.1294900427547</v>
      </c>
      <c r="N78" s="1217"/>
      <c r="O78" s="243"/>
      <c r="P78" s="2239">
        <f>'[1]затраты вспом.'!P78+'[2]затраты вспом.'!P78</f>
        <v>6150.7726399999992</v>
      </c>
      <c r="Q78" s="991">
        <f>SUM(N78:P78)</f>
        <v>6150.7726399999992</v>
      </c>
      <c r="R78" s="983"/>
      <c r="S78" s="985"/>
      <c r="T78" s="2239">
        <f>'[1]затраты вспом.'!T78+'[2]затраты вспом.'!T78</f>
        <v>505.28981551007996</v>
      </c>
      <c r="U78" s="986">
        <f>SUM(R78:T78)</f>
        <v>505.28981551007996</v>
      </c>
      <c r="V78" s="1053"/>
      <c r="W78" s="1055"/>
      <c r="X78" s="2239">
        <f>'[1]затраты вспом.'!X78+'[2]затраты вспом.'!X78</f>
        <v>1515.2</v>
      </c>
      <c r="Y78" s="990">
        <f>SUM(V78:X78)</f>
        <v>1515.2</v>
      </c>
      <c r="Z78" s="1058"/>
      <c r="AA78" s="1055"/>
      <c r="AB78" s="1052"/>
      <c r="AC78" s="981">
        <f>B78+H78+I78+M78+Q78+U78+Y78+Z78+AA78+AB78</f>
        <v>17717.273435739691</v>
      </c>
      <c r="AD78" s="1051"/>
      <c r="AE78" s="1053"/>
      <c r="AF78" s="1054"/>
      <c r="AG78" s="991">
        <f>SUM(AD78:AF78)</f>
        <v>0</v>
      </c>
      <c r="AH78" s="1049"/>
      <c r="AI78" s="1016"/>
      <c r="AJ78" s="1017"/>
      <c r="AK78" s="2239">
        <f>'[1]затраты вспом.'!AK78+'[2]затраты вспом.'!AK78</f>
        <v>9553.3652663506036</v>
      </c>
      <c r="AL78" s="1056"/>
      <c r="AM78" s="1057"/>
      <c r="AN78" s="1039">
        <f>AC78+AG78+AK78+AL78+AM78</f>
        <v>27270.638702090295</v>
      </c>
    </row>
    <row r="79" spans="1:40" s="1291" customFormat="1" ht="9.75" customHeight="1" thickBot="1">
      <c r="A79" s="1277" t="s">
        <v>623</v>
      </c>
      <c r="B79" s="1278"/>
      <c r="C79" s="1279"/>
      <c r="D79" s="1279"/>
      <c r="E79" s="1279"/>
      <c r="F79" s="1279"/>
      <c r="G79" s="1279"/>
      <c r="H79" s="1278"/>
      <c r="I79" s="1280"/>
      <c r="J79" s="2218">
        <f>'[1]затраты вспом.'!J79+'[2]затраты вспом.'!J79</f>
        <v>129.19258597798745</v>
      </c>
      <c r="K79" s="1281"/>
      <c r="L79" s="1282"/>
      <c r="M79" s="1282">
        <f t="shared" ref="M79:M80" si="96">SUM(J79:L79)</f>
        <v>129.19258597798745</v>
      </c>
      <c r="N79" s="2218">
        <f>'[1]затраты вспом.'!N79+'[2]затраты вспом.'!N79</f>
        <v>299.44621559977941</v>
      </c>
      <c r="O79" s="1281"/>
      <c r="P79" s="1281"/>
      <c r="Q79" s="1278">
        <f t="shared" ref="Q79:Q81" si="97">SUM(N79:P79)</f>
        <v>299.44621559977941</v>
      </c>
      <c r="R79" s="2218">
        <f>'[1]затраты вспом.'!R79+'[2]затраты вспом.'!R79</f>
        <v>1.153913253001231</v>
      </c>
      <c r="S79" s="1281"/>
      <c r="T79" s="1283"/>
      <c r="U79" s="1278">
        <f t="shared" ref="U79:U81" si="98">SUM(R79:T79)</f>
        <v>1.153913253001231</v>
      </c>
      <c r="V79" s="1284"/>
      <c r="W79" s="1281"/>
      <c r="X79" s="1285"/>
      <c r="Y79" s="1282"/>
      <c r="Z79" s="1283"/>
      <c r="AA79" s="1281"/>
      <c r="AB79" s="1283"/>
      <c r="AC79" s="1278">
        <f>B79+H79+I79+M79+Q79+U79+Y79+Z79+AA79+AB79</f>
        <v>429.79271483076809</v>
      </c>
      <c r="AD79" s="2218">
        <f>'[1]затраты вспом.'!AD79+'[2]затраты вспом.'!AD79</f>
        <v>3252.0267967815153</v>
      </c>
      <c r="AE79" s="1284"/>
      <c r="AF79" s="1286"/>
      <c r="AG79" s="1278">
        <f>SUM(AD79:AE79)</f>
        <v>3252.0267967815153</v>
      </c>
      <c r="AH79" s="1287"/>
      <c r="AI79" s="1287"/>
      <c r="AJ79" s="1287"/>
      <c r="AK79" s="2218">
        <f>'[1]затраты вспом.'!AK79+'[2]затраты вспом.'!AK79</f>
        <v>711.9804450282154</v>
      </c>
      <c r="AL79" s="1289"/>
      <c r="AM79" s="1290"/>
      <c r="AN79" s="1284">
        <f>AC79+AG79+AK79+AL79+AM79</f>
        <v>4393.7999566404987</v>
      </c>
    </row>
    <row r="80" spans="1:40" s="1291" customFormat="1" ht="9.75" customHeight="1" thickBot="1">
      <c r="A80" s="1292" t="s">
        <v>624</v>
      </c>
      <c r="B80" s="1278"/>
      <c r="C80" s="1279"/>
      <c r="D80" s="1279"/>
      <c r="E80" s="1279"/>
      <c r="F80" s="1279"/>
      <c r="G80" s="1279"/>
      <c r="H80" s="1278"/>
      <c r="I80" s="1280"/>
      <c r="J80" s="2218">
        <f>'[1]затраты вспом.'!J80+'[2]затраты вспом.'!J80</f>
        <v>290.39283</v>
      </c>
      <c r="K80" s="1281"/>
      <c r="L80" s="1282"/>
      <c r="M80" s="1290">
        <f t="shared" si="96"/>
        <v>290.39283</v>
      </c>
      <c r="N80" s="2218">
        <f>'[1]затраты вспом.'!N80+'[2]затраты вспом.'!N80</f>
        <v>1126.4881443991701</v>
      </c>
      <c r="O80" s="1289"/>
      <c r="P80" s="1289"/>
      <c r="Q80" s="1293">
        <f t="shared" si="97"/>
        <v>1126.4881443991701</v>
      </c>
      <c r="R80" s="2218">
        <f>'[1]затраты вспом.'!R80+'[2]затраты вспом.'!R80</f>
        <v>6.5388417670069758</v>
      </c>
      <c r="S80" s="1289"/>
      <c r="T80" s="1294"/>
      <c r="U80" s="1293">
        <f t="shared" si="98"/>
        <v>6.5388417670069758</v>
      </c>
      <c r="V80" s="1288"/>
      <c r="W80" s="1289"/>
      <c r="X80" s="1295"/>
      <c r="Y80" s="1290"/>
      <c r="Z80" s="1294"/>
      <c r="AA80" s="1289"/>
      <c r="AB80" s="1294"/>
      <c r="AC80" s="1293">
        <f>B80+H80+I80+M80+Q80+U80+Y80+Z80+AA80+AB80</f>
        <v>1423.419816166177</v>
      </c>
      <c r="AD80" s="2218">
        <f>'[1]затраты вспом.'!AD80+'[2]затраты вспом.'!AD80</f>
        <v>4518.5156113478197</v>
      </c>
      <c r="AE80" s="1288"/>
      <c r="AF80" s="1296"/>
      <c r="AG80" s="1293">
        <f>SUM(AD80:AE80)</f>
        <v>4518.5156113478197</v>
      </c>
      <c r="AH80" s="1287"/>
      <c r="AI80" s="1287"/>
      <c r="AJ80" s="1287"/>
      <c r="AK80" s="2218">
        <f>'[1]затраты вспом.'!AK80+'[2]затраты вспом.'!AK80</f>
        <v>984.14586035259276</v>
      </c>
      <c r="AL80" s="1281"/>
      <c r="AM80" s="1282"/>
      <c r="AN80" s="1284">
        <f>AC80+AG80+AK80+AL80+AM80</f>
        <v>6926.0812878665893</v>
      </c>
    </row>
    <row r="81" spans="1:40" s="1291" customFormat="1" ht="9.75" customHeight="1" thickBot="1">
      <c r="A81" s="1277" t="s">
        <v>625</v>
      </c>
      <c r="B81" s="1278"/>
      <c r="C81" s="1279"/>
      <c r="D81" s="1279"/>
      <c r="E81" s="1279"/>
      <c r="F81" s="1279"/>
      <c r="G81" s="1279"/>
      <c r="H81" s="1278"/>
      <c r="I81" s="2218">
        <f>'[1]затраты вспом.'!I81+'[2]затраты вспом.'!I81</f>
        <v>2730.2372967171259</v>
      </c>
      <c r="J81" s="1280"/>
      <c r="K81" s="1281"/>
      <c r="L81" s="1282"/>
      <c r="M81" s="1282">
        <f>SUM(J81:L81)</f>
        <v>0</v>
      </c>
      <c r="N81" s="1283"/>
      <c r="O81" s="1281"/>
      <c r="P81" s="1281"/>
      <c r="Q81" s="1278">
        <f t="shared" si="97"/>
        <v>0</v>
      </c>
      <c r="R81" s="1297"/>
      <c r="S81" s="1281"/>
      <c r="T81" s="1283"/>
      <c r="U81" s="1278">
        <f t="shared" si="98"/>
        <v>0</v>
      </c>
      <c r="V81" s="1284"/>
      <c r="W81" s="1281"/>
      <c r="X81" s="1285"/>
      <c r="Y81" s="1282"/>
      <c r="Z81" s="1283"/>
      <c r="AA81" s="1281"/>
      <c r="AB81" s="1283"/>
      <c r="AC81" s="1278">
        <f>B81+H81+I81+M81+Q81+U81+Y81+Z81+AA81+AB81</f>
        <v>2730.2372967171259</v>
      </c>
      <c r="AD81" s="1278"/>
      <c r="AE81" s="1284"/>
      <c r="AF81" s="1286"/>
      <c r="AG81" s="1278"/>
      <c r="AH81" s="1287"/>
      <c r="AI81" s="1287"/>
      <c r="AJ81" s="1287"/>
      <c r="AK81" s="2218">
        <f>'[1]затраты вспом.'!AK81+'[2]затраты вспом.'!AK81</f>
        <v>565.13830710806405</v>
      </c>
      <c r="AL81" s="1298"/>
      <c r="AM81" s="1299"/>
      <c r="AN81" s="1284">
        <f>AC81+AG81+AK81+AL81+AM81</f>
        <v>3295.37560382519</v>
      </c>
    </row>
    <row r="82" spans="1:40" s="1037" customFormat="1" ht="10.5" customHeight="1" thickBot="1">
      <c r="A82" s="1062" t="s">
        <v>394</v>
      </c>
      <c r="B82" s="1063">
        <f t="shared" ref="B82:AN82" si="99">B83+B87+B88+B89</f>
        <v>2611.9139533443804</v>
      </c>
      <c r="C82" s="1064">
        <f t="shared" si="99"/>
        <v>0</v>
      </c>
      <c r="D82" s="1064">
        <f t="shared" si="99"/>
        <v>0</v>
      </c>
      <c r="E82" s="1064">
        <f t="shared" si="99"/>
        <v>0</v>
      </c>
      <c r="F82" s="1064">
        <f t="shared" si="99"/>
        <v>0</v>
      </c>
      <c r="G82" s="1064">
        <f t="shared" si="99"/>
        <v>0</v>
      </c>
      <c r="H82" s="1063">
        <f t="shared" si="99"/>
        <v>0</v>
      </c>
      <c r="I82" s="1063">
        <f t="shared" ref="I82:L82" si="100">I83+I87+I88+I89</f>
        <v>2869.1104088117277</v>
      </c>
      <c r="J82" s="1082">
        <f t="shared" si="100"/>
        <v>1286.0811034875742</v>
      </c>
      <c r="K82" s="1065">
        <f t="shared" si="100"/>
        <v>0</v>
      </c>
      <c r="L82" s="1067">
        <f t="shared" si="100"/>
        <v>63.318931905493336</v>
      </c>
      <c r="M82" s="1063">
        <f t="shared" si="99"/>
        <v>1349.4000353930676</v>
      </c>
      <c r="N82" s="1082">
        <f t="shared" si="99"/>
        <v>14001.14641998984</v>
      </c>
      <c r="O82" s="1065">
        <f t="shared" si="99"/>
        <v>0</v>
      </c>
      <c r="P82" s="1067">
        <f t="shared" si="99"/>
        <v>0</v>
      </c>
      <c r="Q82" s="1063">
        <f t="shared" si="99"/>
        <v>14001.14641998984</v>
      </c>
      <c r="R82" s="1064">
        <f t="shared" si="99"/>
        <v>2440.5839018423721</v>
      </c>
      <c r="S82" s="1065">
        <f t="shared" si="99"/>
        <v>0</v>
      </c>
      <c r="T82" s="1064">
        <f t="shared" si="99"/>
        <v>0</v>
      </c>
      <c r="U82" s="1063">
        <f t="shared" si="99"/>
        <v>2440.5839018423721</v>
      </c>
      <c r="V82" s="1064">
        <f t="shared" si="99"/>
        <v>3937.0943806069627</v>
      </c>
      <c r="W82" s="1064">
        <f t="shared" si="99"/>
        <v>0</v>
      </c>
      <c r="X82" s="1064">
        <f t="shared" si="99"/>
        <v>0</v>
      </c>
      <c r="Y82" s="1063">
        <f t="shared" si="99"/>
        <v>3937.0943806069627</v>
      </c>
      <c r="Z82" s="1064">
        <f t="shared" si="99"/>
        <v>1854.2041791256265</v>
      </c>
      <c r="AA82" s="1064">
        <f t="shared" si="99"/>
        <v>1479.6835577155073</v>
      </c>
      <c r="AB82" s="1064">
        <f t="shared" si="99"/>
        <v>3233.7296673442675</v>
      </c>
      <c r="AC82" s="1063">
        <f t="shared" si="99"/>
        <v>33776.866504173755</v>
      </c>
      <c r="AD82" s="1064">
        <f t="shared" si="99"/>
        <v>0</v>
      </c>
      <c r="AE82" s="1066">
        <f t="shared" si="99"/>
        <v>0</v>
      </c>
      <c r="AF82" s="1201">
        <f t="shared" si="99"/>
        <v>0</v>
      </c>
      <c r="AG82" s="1063">
        <f t="shared" si="99"/>
        <v>0</v>
      </c>
      <c r="AH82" s="992"/>
      <c r="AI82" s="993"/>
      <c r="AJ82" s="994"/>
      <c r="AK82" s="1067">
        <f t="shared" si="99"/>
        <v>20818.701910742788</v>
      </c>
      <c r="AL82" s="1063">
        <f t="shared" si="99"/>
        <v>0</v>
      </c>
      <c r="AM82" s="1064">
        <f t="shared" si="99"/>
        <v>56773.107990738834</v>
      </c>
      <c r="AN82" s="1067">
        <f t="shared" si="99"/>
        <v>111368.67640565537</v>
      </c>
    </row>
    <row r="83" spans="1:40" s="1037" customFormat="1" ht="9.75" customHeight="1">
      <c r="A83" s="1068" t="s">
        <v>395</v>
      </c>
      <c r="B83" s="2239">
        <f>'[1]затраты вспом.'!B83+'[2]затраты вспом.'!B83</f>
        <v>1306.6523430581819</v>
      </c>
      <c r="C83" s="982"/>
      <c r="D83" s="982"/>
      <c r="E83" s="982"/>
      <c r="F83" s="982"/>
      <c r="G83" s="983"/>
      <c r="H83" s="984">
        <f>SUM(C83:G83)</f>
        <v>0</v>
      </c>
      <c r="I83" s="2239">
        <f>'[1]затраты вспом.'!I83+'[2]затраты вспом.'!I83</f>
        <v>2803.2429179949831</v>
      </c>
      <c r="J83" s="2239">
        <f>'[1]затраты вспом.'!J83+'[2]затраты вспом.'!J83</f>
        <v>1038.1280351542114</v>
      </c>
      <c r="K83" s="981">
        <f>'[1]затраты вспом.'!K83</f>
        <v>0</v>
      </c>
      <c r="L83" s="2239">
        <f>'[1]затраты вспом.'!L83+'[2]затраты вспом.'!L83</f>
        <v>63.20706100106667</v>
      </c>
      <c r="M83" s="981">
        <f t="shared" ref="M83:M87" si="101">SUM(J83:L83)</f>
        <v>1101.3350961552781</v>
      </c>
      <c r="N83" s="2239">
        <f>'[1]затраты вспом.'!N83+'[2]затраты вспом.'!N83</f>
        <v>5541.1407099960234</v>
      </c>
      <c r="O83" s="981">
        <f>'[1]затраты вспом.'!O83</f>
        <v>0</v>
      </c>
      <c r="P83" s="981">
        <f>'[1]затраты вспом.'!P83</f>
        <v>0</v>
      </c>
      <c r="Q83" s="981">
        <f>SUM(N83:P83)</f>
        <v>5541.1407099960234</v>
      </c>
      <c r="R83" s="2239">
        <f>'[1]затраты вспом.'!R83+'[2]затраты вспом.'!R83</f>
        <v>1156.5168729852826</v>
      </c>
      <c r="S83" s="981">
        <f>'[1]затраты вспом.'!S83</f>
        <v>0</v>
      </c>
      <c r="T83" s="981">
        <f>'[1]затраты вспом.'!T83</f>
        <v>0</v>
      </c>
      <c r="U83" s="981">
        <f>SUM(R83:T83)</f>
        <v>1156.5168729852826</v>
      </c>
      <c r="V83" s="2239">
        <f>'[1]затраты вспом.'!V83+'[2]затраты вспом.'!V83</f>
        <v>1992.4334450736856</v>
      </c>
      <c r="W83" s="981">
        <f>'[1]затраты вспом.'!W83</f>
        <v>0</v>
      </c>
      <c r="X83" s="981">
        <f>'[1]затраты вспом.'!X83</f>
        <v>0</v>
      </c>
      <c r="Y83" s="981">
        <f>SUM(V83:X83)</f>
        <v>1992.4334450736856</v>
      </c>
      <c r="Z83" s="2239">
        <f>'[1]затраты вспом.'!Z83+'[2]затраты вспом.'!Z83</f>
        <v>870.60436613482477</v>
      </c>
      <c r="AA83" s="2239">
        <f>'[1]затраты вспом.'!AA83+'[2]затраты вспом.'!AA83</f>
        <v>400.90533547894319</v>
      </c>
      <c r="AB83" s="2239">
        <f>'[1]затраты вспом.'!AB83+'[2]затраты вспом.'!AB83</f>
        <v>1681.5394270190191</v>
      </c>
      <c r="AC83" s="981">
        <f>B83+H83+I83+M83+Q83+U83+Y83+Z83+AA83+AB83</f>
        <v>16854.370513896221</v>
      </c>
      <c r="AD83" s="1044"/>
      <c r="AE83" s="1071"/>
      <c r="AF83" s="1272"/>
      <c r="AG83" s="991">
        <f>SUM(AD83:AF83)</f>
        <v>0</v>
      </c>
      <c r="AH83" s="992"/>
      <c r="AI83" s="993"/>
      <c r="AJ83" s="994"/>
      <c r="AK83" s="2239">
        <f>'[1]затраты вспом.'!AK83+'[2]затраты вспом.'!AK83</f>
        <v>8856.6486901210064</v>
      </c>
      <c r="AL83" s="991"/>
      <c r="AM83" s="1044"/>
      <c r="AN83" s="1039">
        <f>AC83+AG83+AK83+AL83+AM83</f>
        <v>25711.019204017226</v>
      </c>
    </row>
    <row r="84" spans="1:40" s="1037" customFormat="1" ht="9.75" customHeight="1">
      <c r="A84" s="1072" t="s">
        <v>105</v>
      </c>
      <c r="B84" s="2239">
        <f>'[1]затраты вспом.'!B84+'[2]затраты вспом.'!B84</f>
        <v>0</v>
      </c>
      <c r="C84" s="982"/>
      <c r="D84" s="982"/>
      <c r="E84" s="982"/>
      <c r="F84" s="982"/>
      <c r="G84" s="983"/>
      <c r="H84" s="984">
        <f>SUM(C84:G84)</f>
        <v>0</v>
      </c>
      <c r="I84" s="2239">
        <f>'[1]затраты вспом.'!I84+'[2]затраты вспом.'!I84</f>
        <v>0</v>
      </c>
      <c r="J84" s="2239">
        <f>'[1]затраты вспом.'!J84+'[2]затраты вспом.'!J84</f>
        <v>75.08767446699008</v>
      </c>
      <c r="K84" s="981">
        <f>'[1]затраты вспом.'!K84</f>
        <v>0</v>
      </c>
      <c r="L84" s="2239">
        <f>'[1]затраты вспом.'!L84+'[2]затраты вспом.'!L84</f>
        <v>0</v>
      </c>
      <c r="M84" s="981">
        <f t="shared" ref="M84:M86" si="102">SUM(J84:L84)</f>
        <v>75.08767446699008</v>
      </c>
      <c r="N84" s="2239">
        <f>'[1]затраты вспом.'!N84+'[2]затраты вспом.'!N84</f>
        <v>0</v>
      </c>
      <c r="O84" s="981">
        <f>'[1]затраты вспом.'!O84</f>
        <v>0</v>
      </c>
      <c r="P84" s="981">
        <f>'[1]затраты вспом.'!P84</f>
        <v>0</v>
      </c>
      <c r="Q84" s="981">
        <f>SUM(N84:P84)</f>
        <v>0</v>
      </c>
      <c r="R84" s="2239">
        <f>'[1]затраты вспом.'!R84+'[2]затраты вспом.'!R84</f>
        <v>0</v>
      </c>
      <c r="S84" s="981">
        <f>'[1]затраты вспом.'!S84</f>
        <v>0</v>
      </c>
      <c r="T84" s="981">
        <f>'[1]затраты вспом.'!T84</f>
        <v>0</v>
      </c>
      <c r="U84" s="981">
        <f>SUM(R84:T84)</f>
        <v>0</v>
      </c>
      <c r="V84" s="2239">
        <f>'[1]затраты вспом.'!V84+'[2]затраты вспом.'!V84</f>
        <v>0</v>
      </c>
      <c r="W84" s="981">
        <f>'[1]затраты вспом.'!W84</f>
        <v>0</v>
      </c>
      <c r="X84" s="981">
        <f>'[1]затраты вспом.'!X84</f>
        <v>0</v>
      </c>
      <c r="Y84" s="981">
        <f>SUM(V84:X84)</f>
        <v>0</v>
      </c>
      <c r="Z84" s="2239">
        <f>'[1]затраты вспом.'!Z84+'[2]затраты вспом.'!Z84</f>
        <v>0</v>
      </c>
      <c r="AA84" s="2239">
        <f>'[1]затраты вспом.'!AA84+'[2]затраты вспом.'!AA84</f>
        <v>0</v>
      </c>
      <c r="AB84" s="2239">
        <f>'[1]затраты вспом.'!AB84+'[2]затраты вспом.'!AB84</f>
        <v>0</v>
      </c>
      <c r="AC84" s="981">
        <f>B84+H84+I84+M84+Q84+U84+Y84+Z84+AA84+AB84</f>
        <v>75.08767446699008</v>
      </c>
      <c r="AD84" s="1044"/>
      <c r="AE84" s="1073"/>
      <c r="AF84" s="1214"/>
      <c r="AG84" s="991">
        <f>SUM(AD84:AF84)</f>
        <v>0</v>
      </c>
      <c r="AH84" s="992"/>
      <c r="AI84" s="993"/>
      <c r="AJ84" s="994"/>
      <c r="AK84" s="2239">
        <f>'[1]затраты вспом.'!AK84+'[2]затраты вспом.'!AK84</f>
        <v>505.65337896447704</v>
      </c>
      <c r="AL84" s="991"/>
      <c r="AM84" s="1044"/>
      <c r="AN84" s="1039">
        <f>AC84+AG84+AK84+AL84+AM84</f>
        <v>580.74105343146709</v>
      </c>
    </row>
    <row r="85" spans="1:40" s="1037" customFormat="1" ht="9.75" customHeight="1">
      <c r="A85" s="1072" t="s">
        <v>396</v>
      </c>
      <c r="B85" s="2239">
        <f>'[1]затраты вспом.'!B85+'[2]затраты вспом.'!B85</f>
        <v>1305.2616102861984</v>
      </c>
      <c r="C85" s="982"/>
      <c r="D85" s="982"/>
      <c r="E85" s="982"/>
      <c r="F85" s="982"/>
      <c r="G85" s="983"/>
      <c r="H85" s="984">
        <f>SUM(C85:G85)</f>
        <v>0</v>
      </c>
      <c r="I85" s="2239">
        <f>'[1]затраты вспом.'!I85+'[2]затраты вспом.'!I85</f>
        <v>65.867490816744606</v>
      </c>
      <c r="J85" s="2239">
        <f>'[1]затраты вспом.'!J85+'[2]затраты вспом.'!J85</f>
        <v>172.86539386637278</v>
      </c>
      <c r="K85" s="981">
        <f>'[1]затраты вспом.'!K85</f>
        <v>0</v>
      </c>
      <c r="L85" s="2239">
        <f>'[1]затраты вспом.'!L85+'[2]затраты вспом.'!L85</f>
        <v>0.11187090442666667</v>
      </c>
      <c r="M85" s="981">
        <f t="shared" si="102"/>
        <v>172.97726477079945</v>
      </c>
      <c r="N85" s="2239">
        <f>'[1]затраты вспом.'!N85+'[2]затраты вспом.'!N85</f>
        <v>8342.3512199939069</v>
      </c>
      <c r="O85" s="981">
        <f>'[1]затраты вспом.'!O85</f>
        <v>0</v>
      </c>
      <c r="P85" s="981">
        <f>'[1]затраты вспом.'!P85</f>
        <v>0</v>
      </c>
      <c r="Q85" s="981">
        <f>SUM(N85:P85)</f>
        <v>8342.3512199939069</v>
      </c>
      <c r="R85" s="2239">
        <f>'[1]затраты вспом.'!R85+'[2]затраты вспом.'!R85</f>
        <v>1278.4964182283484</v>
      </c>
      <c r="S85" s="981">
        <f>'[1]затраты вспом.'!S85</f>
        <v>0</v>
      </c>
      <c r="T85" s="981">
        <f>'[1]затраты вспом.'!T85</f>
        <v>0</v>
      </c>
      <c r="U85" s="981">
        <f>SUM(R85:T85)</f>
        <v>1278.4964182283484</v>
      </c>
      <c r="V85" s="2239">
        <f>'[1]затраты вспом.'!V85+'[2]затраты вспом.'!V85</f>
        <v>1944.6609355332771</v>
      </c>
      <c r="W85" s="981">
        <f>'[1]затраты вспом.'!W85</f>
        <v>0</v>
      </c>
      <c r="X85" s="981">
        <f>'[1]затраты вспом.'!X85</f>
        <v>0</v>
      </c>
      <c r="Y85" s="981">
        <f>SUM(V85:X85)</f>
        <v>1944.6609355332771</v>
      </c>
      <c r="Z85" s="2239">
        <f>'[1]затраты вспом.'!Z85+'[2]затраты вспом.'!Z85</f>
        <v>980.33470723480229</v>
      </c>
      <c r="AA85" s="2239">
        <f>'[1]затраты вспом.'!AA85+'[2]затраты вспом.'!AA85</f>
        <v>1046.1239557406857</v>
      </c>
      <c r="AB85" s="2239">
        <f>'[1]затраты вспом.'!AB85+'[2]затраты вспом.'!AB85</f>
        <v>1552.1902403252484</v>
      </c>
      <c r="AC85" s="981">
        <f>B85+H85+I85+M85+Q85+U85+Y85+Z85+AA85+AB85</f>
        <v>16688.263842930013</v>
      </c>
      <c r="AD85" s="1044"/>
      <c r="AE85" s="1073"/>
      <c r="AF85" s="1214"/>
      <c r="AG85" s="991">
        <f>SUM(AD85:AF85)</f>
        <v>0</v>
      </c>
      <c r="AH85" s="992"/>
      <c r="AI85" s="993"/>
      <c r="AJ85" s="994"/>
      <c r="AK85" s="2239">
        <f>'[1]затраты вспом.'!AK85+'[2]затраты вспом.'!AK85</f>
        <v>10658.599934822962</v>
      </c>
      <c r="AL85" s="1074"/>
      <c r="AM85" s="2239">
        <f>'[1]затраты вспом.'!AM85+'[2]затраты вспом.'!AM85</f>
        <v>50528.066111757566</v>
      </c>
      <c r="AN85" s="1094">
        <f>AC85+AG85+AK85+AL85+AM85</f>
        <v>77874.929889510531</v>
      </c>
    </row>
    <row r="86" spans="1:40" s="1037" customFormat="1" ht="9.75" customHeight="1">
      <c r="A86" s="1198" t="s">
        <v>566</v>
      </c>
      <c r="B86" s="2239">
        <f>'[1]затраты вспом.'!B86+'[2]затраты вспом.'!B86</f>
        <v>0</v>
      </c>
      <c r="C86" s="982"/>
      <c r="D86" s="982"/>
      <c r="E86" s="982"/>
      <c r="F86" s="982"/>
      <c r="G86" s="983"/>
      <c r="H86" s="984">
        <f>SUM(C86:G86)</f>
        <v>0</v>
      </c>
      <c r="I86" s="2239">
        <f>'[1]затраты вспом.'!I86+'[2]затраты вспом.'!I86</f>
        <v>0</v>
      </c>
      <c r="J86" s="2239">
        <f>'[1]затраты вспом.'!J86+'[2]затраты вспом.'!J86</f>
        <v>0</v>
      </c>
      <c r="K86" s="981">
        <f>'[1]затраты вспом.'!K86</f>
        <v>0</v>
      </c>
      <c r="L86" s="2239">
        <f>'[1]затраты вспом.'!L86+'[2]затраты вспом.'!L86</f>
        <v>0</v>
      </c>
      <c r="M86" s="981">
        <f t="shared" si="102"/>
        <v>0</v>
      </c>
      <c r="N86" s="2239">
        <f>'[1]затраты вспом.'!N86+'[2]затраты вспом.'!N86</f>
        <v>117.65448999991011</v>
      </c>
      <c r="O86" s="981">
        <f>'[1]затраты вспом.'!O86</f>
        <v>0</v>
      </c>
      <c r="P86" s="981">
        <f>'[1]затраты вспом.'!P86</f>
        <v>0</v>
      </c>
      <c r="Q86" s="981">
        <f>SUM(N86:P86)</f>
        <v>117.65448999991011</v>
      </c>
      <c r="R86" s="2239">
        <f>'[1]затраты вспом.'!R86+'[2]затраты вспом.'!R86</f>
        <v>5.57061062874131</v>
      </c>
      <c r="S86" s="981">
        <f>'[1]затраты вспом.'!S86</f>
        <v>0</v>
      </c>
      <c r="T86" s="981">
        <f>'[1]затраты вспом.'!T86</f>
        <v>0</v>
      </c>
      <c r="U86" s="981">
        <f>SUM(R86:T86)</f>
        <v>5.57061062874131</v>
      </c>
      <c r="V86" s="2239">
        <f>'[1]затраты вспом.'!V86+'[2]затраты вспом.'!V86</f>
        <v>0</v>
      </c>
      <c r="W86" s="981">
        <f>'[1]затраты вспом.'!W86</f>
        <v>0</v>
      </c>
      <c r="X86" s="981">
        <f>'[1]затраты вспом.'!X86</f>
        <v>0</v>
      </c>
      <c r="Y86" s="981">
        <f>SUM(V86:X86)</f>
        <v>0</v>
      </c>
      <c r="Z86" s="2239">
        <f>'[1]затраты вспом.'!Z86+'[2]затраты вспом.'!Z86</f>
        <v>3.2651057559993157</v>
      </c>
      <c r="AA86" s="2239">
        <f>'[1]затраты вспом.'!AA86+'[2]затраты вспом.'!AA86</f>
        <v>32.654266495878389</v>
      </c>
      <c r="AB86" s="2239">
        <f>'[1]затраты вспом.'!AB86+'[2]затраты вспом.'!AB86</f>
        <v>0</v>
      </c>
      <c r="AC86" s="981">
        <f>B86+H86+I86+M86+Q86+U86+Y86+Z86+AA86+AB86</f>
        <v>159.14447288052912</v>
      </c>
      <c r="AD86" s="1044"/>
      <c r="AE86" s="1073"/>
      <c r="AF86" s="1214"/>
      <c r="AG86" s="991"/>
      <c r="AH86" s="992"/>
      <c r="AI86" s="993"/>
      <c r="AJ86" s="994"/>
      <c r="AK86" s="2239">
        <f>'[1]затраты вспом.'!AK86+'[2]затраты вспом.'!AK86</f>
        <v>797.79990683434414</v>
      </c>
      <c r="AL86" s="1074"/>
      <c r="AM86" s="2239">
        <f>'[1]затраты вспом.'!AM86+'[2]затраты вспом.'!AM86</f>
        <v>6245.041878981272</v>
      </c>
      <c r="AN86" s="1075">
        <f>AC86+AG86+AK86+AL86+AM86</f>
        <v>7201.9862586961453</v>
      </c>
    </row>
    <row r="87" spans="1:40" s="1018" customFormat="1" ht="9.75" customHeight="1">
      <c r="A87" s="1042" t="s">
        <v>397</v>
      </c>
      <c r="B87" s="981">
        <f>B84+B85+B86</f>
        <v>1305.2616102861984</v>
      </c>
      <c r="C87" s="982"/>
      <c r="D87" s="982"/>
      <c r="E87" s="982"/>
      <c r="F87" s="982"/>
      <c r="G87" s="983"/>
      <c r="H87" s="1056">
        <f t="shared" ref="H87:AL87" si="103">H84+H85</f>
        <v>0</v>
      </c>
      <c r="I87" s="981">
        <f>I84+I85+I86</f>
        <v>65.867490816744606</v>
      </c>
      <c r="J87" s="1187">
        <f t="shared" ref="J87:L87" si="104">J84+J85+J86</f>
        <v>247.95306833336286</v>
      </c>
      <c r="K87" s="985">
        <f t="shared" si="104"/>
        <v>0</v>
      </c>
      <c r="L87" s="1077">
        <f t="shared" si="104"/>
        <v>0.11187090442666667</v>
      </c>
      <c r="M87" s="981">
        <f t="shared" si="101"/>
        <v>248.06493923778953</v>
      </c>
      <c r="N87" s="1187">
        <f t="shared" ref="N87" si="105">N84+N85+N86</f>
        <v>8460.0057099938167</v>
      </c>
      <c r="O87" s="985">
        <f t="shared" ref="O87" si="106">O84+O85+O86</f>
        <v>0</v>
      </c>
      <c r="P87" s="1077">
        <f t="shared" ref="P87" si="107">P84+P85+P86</f>
        <v>0</v>
      </c>
      <c r="Q87" s="981">
        <f t="shared" ref="Q87" si="108">SUM(N87:P87)</f>
        <v>8460.0057099938167</v>
      </c>
      <c r="R87" s="1073">
        <f t="shared" ref="R87" si="109">R84+R85+R86</f>
        <v>1284.0670288570898</v>
      </c>
      <c r="S87" s="983">
        <f t="shared" ref="S87" si="110">S84+S85+S86</f>
        <v>0</v>
      </c>
      <c r="T87" s="1214">
        <f t="shared" ref="T87" si="111">T84+T85+T86</f>
        <v>0</v>
      </c>
      <c r="U87" s="981">
        <f t="shared" ref="U87" si="112">SUM(R87:T87)</f>
        <v>1284.0670288570898</v>
      </c>
      <c r="V87" s="1073">
        <f t="shared" ref="V87" si="113">V84+V85+V86</f>
        <v>1944.6609355332771</v>
      </c>
      <c r="W87" s="983">
        <f t="shared" ref="W87" si="114">W84+W85+W86</f>
        <v>0</v>
      </c>
      <c r="X87" s="1214">
        <f t="shared" ref="X87" si="115">X84+X85+X86</f>
        <v>0</v>
      </c>
      <c r="Y87" s="981">
        <f t="shared" ref="Y87" si="116">SUM(V87:X87)</f>
        <v>1944.6609355332771</v>
      </c>
      <c r="Z87" s="1051">
        <f>Z84+Z85+Z86</f>
        <v>983.59981299080164</v>
      </c>
      <c r="AA87" s="1051">
        <f>AA84+AA85+AA86</f>
        <v>1078.778222236564</v>
      </c>
      <c r="AB87" s="1051">
        <f>AB84+AB85+AB86</f>
        <v>1552.1902403252484</v>
      </c>
      <c r="AC87" s="1051">
        <f>AC84+AC85+AC86</f>
        <v>16922.495990277534</v>
      </c>
      <c r="AD87" s="1051">
        <f t="shared" si="103"/>
        <v>0</v>
      </c>
      <c r="AE87" s="1053">
        <f t="shared" si="103"/>
        <v>0</v>
      </c>
      <c r="AF87" s="1054">
        <f t="shared" si="103"/>
        <v>0</v>
      </c>
      <c r="AG87" s="1056">
        <f t="shared" si="103"/>
        <v>0</v>
      </c>
      <c r="AH87" s="1049"/>
      <c r="AI87" s="1016"/>
      <c r="AJ87" s="1017"/>
      <c r="AK87" s="1057">
        <f>AK84+AK85+AK86</f>
        <v>11962.053220621781</v>
      </c>
      <c r="AL87" s="1056">
        <f t="shared" si="103"/>
        <v>0</v>
      </c>
      <c r="AM87" s="1051">
        <f>AM86+AM85</f>
        <v>56773.107990738834</v>
      </c>
      <c r="AN87" s="1060">
        <f>AN84+AN85+AN86</f>
        <v>85657.65720163814</v>
      </c>
    </row>
    <row r="88" spans="1:40" s="1037" customFormat="1" ht="9.75" customHeight="1">
      <c r="A88" s="1076" t="s">
        <v>398</v>
      </c>
      <c r="B88" s="981"/>
      <c r="C88" s="982"/>
      <c r="D88" s="982"/>
      <c r="E88" s="982"/>
      <c r="F88" s="982"/>
      <c r="G88" s="983"/>
      <c r="H88" s="984"/>
      <c r="I88" s="981"/>
      <c r="J88" s="1187"/>
      <c r="K88" s="985"/>
      <c r="L88" s="1077"/>
      <c r="M88" s="981"/>
      <c r="N88" s="1187"/>
      <c r="O88" s="985"/>
      <c r="P88" s="1077"/>
      <c r="Q88" s="981"/>
      <c r="R88" s="1073"/>
      <c r="S88" s="983"/>
      <c r="T88" s="1214"/>
      <c r="U88" s="981"/>
      <c r="V88" s="1073"/>
      <c r="W88" s="983"/>
      <c r="X88" s="1214"/>
      <c r="Y88" s="981"/>
      <c r="Z88" s="982"/>
      <c r="AA88" s="982"/>
      <c r="AB88" s="982"/>
      <c r="AC88" s="981"/>
      <c r="AD88" s="983"/>
      <c r="AE88" s="1073"/>
      <c r="AF88" s="1214"/>
      <c r="AG88" s="991"/>
      <c r="AH88" s="992"/>
      <c r="AI88" s="993"/>
      <c r="AJ88" s="994"/>
      <c r="AK88" s="1077"/>
      <c r="AL88" s="991"/>
      <c r="AM88" s="1044"/>
      <c r="AN88" s="1039"/>
    </row>
    <row r="89" spans="1:40" s="1037" customFormat="1" ht="9.75" customHeight="1" thickBot="1">
      <c r="A89" s="1078" t="s">
        <v>106</v>
      </c>
      <c r="B89" s="981"/>
      <c r="C89" s="982"/>
      <c r="D89" s="982"/>
      <c r="E89" s="982"/>
      <c r="F89" s="982"/>
      <c r="G89" s="983"/>
      <c r="H89" s="984"/>
      <c r="I89" s="981"/>
      <c r="J89" s="1187"/>
      <c r="K89" s="985"/>
      <c r="L89" s="1077"/>
      <c r="M89" s="981"/>
      <c r="N89" s="1187"/>
      <c r="O89" s="985"/>
      <c r="P89" s="1077"/>
      <c r="Q89" s="981"/>
      <c r="R89" s="1216"/>
      <c r="S89" s="983"/>
      <c r="T89" s="1215"/>
      <c r="U89" s="981"/>
      <c r="V89" s="1216"/>
      <c r="W89" s="983"/>
      <c r="X89" s="1215"/>
      <c r="Y89" s="981"/>
      <c r="Z89" s="982"/>
      <c r="AA89" s="982"/>
      <c r="AB89" s="982"/>
      <c r="AC89" s="981"/>
      <c r="AD89" s="1001"/>
      <c r="AE89" s="1079"/>
      <c r="AF89" s="1273"/>
      <c r="AG89" s="991"/>
      <c r="AH89" s="992"/>
      <c r="AI89" s="993"/>
      <c r="AJ89" s="994"/>
      <c r="AK89" s="1080"/>
      <c r="AL89" s="1081"/>
      <c r="AM89" s="1001"/>
      <c r="AN89" s="1039"/>
    </row>
    <row r="90" spans="1:40" s="1037" customFormat="1" ht="9.75" customHeight="1" thickBot="1">
      <c r="A90" s="1062" t="s">
        <v>381</v>
      </c>
      <c r="B90" s="1063">
        <f>B91+B97+B98+B102+B103+B104+B105+B106+B107+B108</f>
        <v>3136.5616421417881</v>
      </c>
      <c r="C90" s="1067">
        <f t="shared" ref="C90:AC90" si="117">C91+C97+C98+C102+C103+C104+C105+C106+C107+C108</f>
        <v>0</v>
      </c>
      <c r="D90" s="1063">
        <f t="shared" si="117"/>
        <v>0</v>
      </c>
      <c r="E90" s="1063">
        <f t="shared" si="117"/>
        <v>0</v>
      </c>
      <c r="F90" s="1063">
        <f t="shared" si="117"/>
        <v>0</v>
      </c>
      <c r="G90" s="1082">
        <f t="shared" si="117"/>
        <v>0</v>
      </c>
      <c r="H90" s="1063">
        <f t="shared" si="117"/>
        <v>0</v>
      </c>
      <c r="I90" s="1063">
        <f>I91+I97+I98+I102+I103+I104+I105+I106+I107+I108</f>
        <v>820.94346026725339</v>
      </c>
      <c r="J90" s="1082">
        <f t="shared" ref="J90:L90" si="118">J91+J97+J98+J102+J103+J104+J105+J106+J107+J108</f>
        <v>1</v>
      </c>
      <c r="K90" s="1065">
        <f t="shared" si="118"/>
        <v>0</v>
      </c>
      <c r="L90" s="1067">
        <f t="shared" si="118"/>
        <v>513.71119312725341</v>
      </c>
      <c r="M90" s="1063">
        <f t="shared" si="117"/>
        <v>514.71119312725341</v>
      </c>
      <c r="N90" s="1082">
        <f t="shared" ref="N90" si="119">N91+N97+N98+N102+N103+N104+N105+N106+N107+N108</f>
        <v>6603.5564799950553</v>
      </c>
      <c r="O90" s="1065">
        <f t="shared" ref="O90" si="120">O91+O97+O98+O102+O103+O104+O105+O106+O107+O108</f>
        <v>0</v>
      </c>
      <c r="P90" s="1067">
        <f t="shared" ref="P90" si="121">P91+P97+P98+P102+P103+P104+P105+P106+P107+P108</f>
        <v>0</v>
      </c>
      <c r="Q90" s="1063">
        <f t="shared" si="117"/>
        <v>6603.5564799950553</v>
      </c>
      <c r="R90" s="1063">
        <f t="shared" si="117"/>
        <v>162.42539208516345</v>
      </c>
      <c r="S90" s="1063">
        <f t="shared" si="117"/>
        <v>0</v>
      </c>
      <c r="T90" s="1063">
        <f t="shared" si="117"/>
        <v>0</v>
      </c>
      <c r="U90" s="1063">
        <f t="shared" si="117"/>
        <v>162.42539208516345</v>
      </c>
      <c r="V90" s="1063">
        <f t="shared" si="117"/>
        <v>816.62886661082928</v>
      </c>
      <c r="W90" s="1063">
        <f t="shared" si="117"/>
        <v>0</v>
      </c>
      <c r="X90" s="1063">
        <f t="shared" si="117"/>
        <v>0</v>
      </c>
      <c r="Y90" s="1063">
        <f t="shared" si="117"/>
        <v>816.62886661082928</v>
      </c>
      <c r="Z90" s="1063">
        <f t="shared" si="117"/>
        <v>102.75068957131272</v>
      </c>
      <c r="AA90" s="1063">
        <f t="shared" si="117"/>
        <v>0</v>
      </c>
      <c r="AB90" s="1063">
        <f t="shared" si="117"/>
        <v>0</v>
      </c>
      <c r="AC90" s="1063">
        <f t="shared" si="117"/>
        <v>12157.577723798655</v>
      </c>
      <c r="AD90" s="1064">
        <f t="shared" ref="AD90:AL90" si="122">AD91+AD97+AD98+AD102+AD103+AD104+AD105+AD106+AD107+AD108</f>
        <v>0</v>
      </c>
      <c r="AE90" s="1066">
        <f t="shared" si="122"/>
        <v>0</v>
      </c>
      <c r="AF90" s="1201">
        <f t="shared" si="122"/>
        <v>0</v>
      </c>
      <c r="AG90" s="1063">
        <f t="shared" si="122"/>
        <v>0</v>
      </c>
      <c r="AH90" s="992"/>
      <c r="AI90" s="993"/>
      <c r="AJ90" s="994"/>
      <c r="AK90" s="1067">
        <f t="shared" si="122"/>
        <v>0</v>
      </c>
      <c r="AL90" s="1063">
        <f t="shared" si="122"/>
        <v>0</v>
      </c>
      <c r="AM90" s="1064">
        <f>AM91+AM97+AM98+AM102+AM103+AM104+AM105+AM106+AM107+AM108</f>
        <v>0</v>
      </c>
      <c r="AN90" s="1063">
        <f>AN91+AN97+AN98+AN102+AN103+AN104+AN105+AN106+AN107+AN108</f>
        <v>12157.577723798655</v>
      </c>
    </row>
    <row r="91" spans="1:40" s="1037" customFormat="1" ht="9.75" customHeight="1">
      <c r="A91" s="1083" t="s">
        <v>382</v>
      </c>
      <c r="B91" s="981">
        <f>'[1]затраты вспом.'!B91</f>
        <v>0</v>
      </c>
      <c r="C91" s="1187"/>
      <c r="D91" s="1184"/>
      <c r="E91" s="983"/>
      <c r="F91" s="1184"/>
      <c r="G91" s="1077"/>
      <c r="H91" s="984">
        <f t="shared" ref="H91" si="123">SUM(C91:G91)</f>
        <v>0</v>
      </c>
      <c r="I91" s="2239">
        <f>'[1]затраты вспом.'!I91+'[2]затраты вспом.'!I91</f>
        <v>45</v>
      </c>
      <c r="J91" s="2239">
        <f>'[1]затраты вспом.'!J91+'[2]затраты вспом.'!J91</f>
        <v>0</v>
      </c>
      <c r="K91" s="981">
        <f>'[1]затраты вспом.'!K91</f>
        <v>0</v>
      </c>
      <c r="L91" s="981">
        <f>'[1]затраты вспом.'!L91</f>
        <v>0</v>
      </c>
      <c r="M91" s="981">
        <f t="shared" ref="M91" si="124">SUM(J91:L91)</f>
        <v>0</v>
      </c>
      <c r="N91" s="2239">
        <f>'[1]затраты вспом.'!N91+'[2]затраты вспом.'!N91</f>
        <v>1974.6465899985305</v>
      </c>
      <c r="O91" s="981">
        <f>'[1]затраты вспом.'!O91</f>
        <v>0</v>
      </c>
      <c r="P91" s="981">
        <f>'[1]затраты вспом.'!P91</f>
        <v>0</v>
      </c>
      <c r="Q91" s="991">
        <f t="shared" ref="Q91:Q101" si="125">SUM(N91:P91)</f>
        <v>1974.6465899985305</v>
      </c>
      <c r="R91" s="2239">
        <f>'[1]затраты вспом.'!R91+'[2]затраты вспом.'!R91</f>
        <v>9.3791271697820413</v>
      </c>
      <c r="S91" s="1069"/>
      <c r="T91" s="1044"/>
      <c r="U91" s="991">
        <f t="shared" ref="U91" si="126">SUM(R91:T91)</f>
        <v>9.3791271697820413</v>
      </c>
      <c r="V91" s="981">
        <f>'[1]затраты вспом.'!V91</f>
        <v>0</v>
      </c>
      <c r="W91" s="1069"/>
      <c r="X91" s="1070"/>
      <c r="Y91" s="991">
        <f t="shared" ref="Y91" si="127">SUM(V91:X91)</f>
        <v>0</v>
      </c>
      <c r="Z91" s="2239">
        <f>'[1]затраты вспом.'!Z91+'[2]затраты вспом.'!Z91</f>
        <v>6.462153768665317</v>
      </c>
      <c r="AA91" s="981">
        <f>'[1]затраты вспом.'!AA91</f>
        <v>0</v>
      </c>
      <c r="AB91" s="981">
        <f>'[1]затраты вспом.'!AB91</f>
        <v>0</v>
      </c>
      <c r="AC91" s="981">
        <f t="shared" ref="AC91" si="128">B91+H91+I91+M91+Q91+U91+Y91+Z91+AA91+AB91</f>
        <v>2035.487870936978</v>
      </c>
      <c r="AD91" s="1044"/>
      <c r="AE91" s="1071"/>
      <c r="AF91" s="1272"/>
      <c r="AG91" s="991">
        <f t="shared" ref="AG91" si="129">SUM(AD91:AF91)</f>
        <v>0</v>
      </c>
      <c r="AH91" s="992"/>
      <c r="AI91" s="993"/>
      <c r="AJ91" s="994"/>
      <c r="AK91" s="1085"/>
      <c r="AL91" s="991"/>
      <c r="AM91" s="1044"/>
      <c r="AN91" s="1039">
        <f t="shared" ref="AN91:AN101" si="130">AC91+AG91+AK91+AL91+AM91</f>
        <v>2035.487870936978</v>
      </c>
    </row>
    <row r="92" spans="1:40" s="1037" customFormat="1" ht="9.75" customHeight="1">
      <c r="A92" s="1083" t="s">
        <v>449</v>
      </c>
      <c r="B92" s="981"/>
      <c r="C92" s="1187"/>
      <c r="D92" s="985"/>
      <c r="E92" s="983"/>
      <c r="F92" s="985"/>
      <c r="G92" s="1077"/>
      <c r="H92" s="984"/>
      <c r="I92" s="981"/>
      <c r="J92" s="1187"/>
      <c r="K92" s="985"/>
      <c r="L92" s="1077"/>
      <c r="M92" s="981"/>
      <c r="N92" s="1187"/>
      <c r="O92" s="985"/>
      <c r="P92" s="1077"/>
      <c r="Q92" s="991"/>
      <c r="R92" s="982"/>
      <c r="S92" s="1069"/>
      <c r="T92" s="1044"/>
      <c r="U92" s="991"/>
      <c r="V92" s="982"/>
      <c r="W92" s="1069"/>
      <c r="X92" s="1070"/>
      <c r="Y92" s="991"/>
      <c r="Z92" s="982"/>
      <c r="AA92" s="982"/>
      <c r="AB92" s="982"/>
      <c r="AC92" s="981"/>
      <c r="AD92" s="1044"/>
      <c r="AE92" s="1073"/>
      <c r="AF92" s="1214"/>
      <c r="AG92" s="991"/>
      <c r="AH92" s="992"/>
      <c r="AI92" s="993"/>
      <c r="AJ92" s="994"/>
      <c r="AK92" s="990"/>
      <c r="AL92" s="991"/>
      <c r="AM92" s="1044"/>
      <c r="AN92" s="1039"/>
    </row>
    <row r="93" spans="1:40" s="1037" customFormat="1" ht="9.75" customHeight="1">
      <c r="A93" s="1083" t="s">
        <v>450</v>
      </c>
      <c r="B93" s="981"/>
      <c r="C93" s="1187"/>
      <c r="D93" s="985"/>
      <c r="E93" s="983"/>
      <c r="F93" s="985"/>
      <c r="G93" s="1077"/>
      <c r="H93" s="984"/>
      <c r="I93" s="981"/>
      <c r="J93" s="1187"/>
      <c r="K93" s="985"/>
      <c r="L93" s="1077"/>
      <c r="M93" s="981"/>
      <c r="N93" s="1187"/>
      <c r="O93" s="985"/>
      <c r="P93" s="1077"/>
      <c r="Q93" s="991"/>
      <c r="R93" s="982"/>
      <c r="S93" s="1069"/>
      <c r="T93" s="1044"/>
      <c r="U93" s="991"/>
      <c r="V93" s="982"/>
      <c r="W93" s="1069"/>
      <c r="X93" s="1070"/>
      <c r="Y93" s="991"/>
      <c r="Z93" s="982"/>
      <c r="AA93" s="982"/>
      <c r="AB93" s="982"/>
      <c r="AC93" s="981"/>
      <c r="AD93" s="1044"/>
      <c r="AE93" s="1073"/>
      <c r="AF93" s="1214"/>
      <c r="AG93" s="991"/>
      <c r="AH93" s="992"/>
      <c r="AI93" s="993"/>
      <c r="AJ93" s="994"/>
      <c r="AK93" s="990"/>
      <c r="AL93" s="991"/>
      <c r="AM93" s="1044"/>
      <c r="AN93" s="1039"/>
    </row>
    <row r="94" spans="1:40" s="1037" customFormat="1" ht="9.75" customHeight="1">
      <c r="A94" s="1083" t="s">
        <v>451</v>
      </c>
      <c r="B94" s="981"/>
      <c r="C94" s="1187"/>
      <c r="D94" s="985"/>
      <c r="E94" s="983"/>
      <c r="F94" s="985"/>
      <c r="G94" s="1077"/>
      <c r="H94" s="984"/>
      <c r="I94" s="981"/>
      <c r="J94" s="1187"/>
      <c r="K94" s="985"/>
      <c r="L94" s="1077"/>
      <c r="M94" s="981"/>
      <c r="N94" s="1187"/>
      <c r="O94" s="985"/>
      <c r="P94" s="1077"/>
      <c r="Q94" s="991"/>
      <c r="R94" s="982"/>
      <c r="S94" s="1069"/>
      <c r="T94" s="1044"/>
      <c r="U94" s="991"/>
      <c r="V94" s="982"/>
      <c r="W94" s="1069"/>
      <c r="X94" s="1070"/>
      <c r="Y94" s="991"/>
      <c r="Z94" s="982"/>
      <c r="AA94" s="982"/>
      <c r="AB94" s="982"/>
      <c r="AC94" s="981"/>
      <c r="AD94" s="1044"/>
      <c r="AE94" s="1073"/>
      <c r="AF94" s="1214"/>
      <c r="AG94" s="991"/>
      <c r="AH94" s="992"/>
      <c r="AI94" s="993"/>
      <c r="AJ94" s="994"/>
      <c r="AK94" s="990"/>
      <c r="AL94" s="991"/>
      <c r="AM94" s="1044"/>
      <c r="AN94" s="1039"/>
    </row>
    <row r="95" spans="1:40" s="1037" customFormat="1" ht="9.75" customHeight="1">
      <c r="A95" s="1083" t="s">
        <v>452</v>
      </c>
      <c r="B95" s="981"/>
      <c r="C95" s="1187"/>
      <c r="D95" s="985"/>
      <c r="E95" s="983"/>
      <c r="F95" s="985"/>
      <c r="G95" s="1077"/>
      <c r="H95" s="984"/>
      <c r="I95" s="981"/>
      <c r="J95" s="1187"/>
      <c r="K95" s="985"/>
      <c r="L95" s="1077"/>
      <c r="M95" s="981"/>
      <c r="N95" s="1187"/>
      <c r="O95" s="985"/>
      <c r="P95" s="1077"/>
      <c r="Q95" s="991"/>
      <c r="R95" s="982"/>
      <c r="S95" s="1069"/>
      <c r="T95" s="1044"/>
      <c r="U95" s="991"/>
      <c r="V95" s="982"/>
      <c r="W95" s="1069"/>
      <c r="X95" s="1070"/>
      <c r="Y95" s="991"/>
      <c r="Z95" s="982"/>
      <c r="AA95" s="982"/>
      <c r="AB95" s="982"/>
      <c r="AC95" s="981"/>
      <c r="AD95" s="1044"/>
      <c r="AE95" s="1073"/>
      <c r="AF95" s="1214"/>
      <c r="AG95" s="991"/>
      <c r="AH95" s="992"/>
      <c r="AI95" s="993"/>
      <c r="AJ95" s="994"/>
      <c r="AK95" s="990"/>
      <c r="AL95" s="991"/>
      <c r="AM95" s="1044"/>
      <c r="AN95" s="1039"/>
    </row>
    <row r="96" spans="1:40" s="1037" customFormat="1" ht="9.75" customHeight="1">
      <c r="A96" s="1083" t="s">
        <v>453</v>
      </c>
      <c r="B96" s="981"/>
      <c r="C96" s="1187"/>
      <c r="D96" s="985"/>
      <c r="E96" s="983"/>
      <c r="F96" s="985"/>
      <c r="G96" s="1077"/>
      <c r="H96" s="984"/>
      <c r="I96" s="981"/>
      <c r="J96" s="1187"/>
      <c r="K96" s="985"/>
      <c r="L96" s="1077"/>
      <c r="M96" s="981"/>
      <c r="N96" s="1187"/>
      <c r="O96" s="985"/>
      <c r="P96" s="1077"/>
      <c r="Q96" s="991"/>
      <c r="R96" s="982"/>
      <c r="S96" s="1069"/>
      <c r="T96" s="1044"/>
      <c r="U96" s="991"/>
      <c r="V96" s="982"/>
      <c r="W96" s="1069"/>
      <c r="X96" s="1070"/>
      <c r="Y96" s="991"/>
      <c r="Z96" s="982"/>
      <c r="AA96" s="982"/>
      <c r="AB96" s="982"/>
      <c r="AC96" s="981"/>
      <c r="AD96" s="1044"/>
      <c r="AE96" s="1073"/>
      <c r="AF96" s="1214"/>
      <c r="AG96" s="991"/>
      <c r="AH96" s="992"/>
      <c r="AI96" s="993"/>
      <c r="AJ96" s="994"/>
      <c r="AK96" s="990"/>
      <c r="AL96" s="991"/>
      <c r="AM96" s="1044"/>
      <c r="AN96" s="1039"/>
    </row>
    <row r="97" spans="1:40" s="1037" customFormat="1" ht="9.75" customHeight="1">
      <c r="A97" s="1086" t="s">
        <v>383</v>
      </c>
      <c r="B97" s="981"/>
      <c r="C97" s="1187"/>
      <c r="D97" s="985"/>
      <c r="E97" s="983"/>
      <c r="F97" s="985"/>
      <c r="G97" s="1077"/>
      <c r="H97" s="981"/>
      <c r="I97" s="981"/>
      <c r="J97" s="1187"/>
      <c r="K97" s="985"/>
      <c r="L97" s="1077"/>
      <c r="M97" s="981"/>
      <c r="N97" s="1187"/>
      <c r="O97" s="985"/>
      <c r="P97" s="1077"/>
      <c r="Q97" s="981"/>
      <c r="R97" s="983"/>
      <c r="S97" s="985"/>
      <c r="T97" s="983"/>
      <c r="U97" s="981"/>
      <c r="V97" s="982"/>
      <c r="W97" s="983"/>
      <c r="X97" s="983"/>
      <c r="Y97" s="981"/>
      <c r="Z97" s="983"/>
      <c r="AA97" s="985"/>
      <c r="AB97" s="983"/>
      <c r="AC97" s="985"/>
      <c r="AD97" s="983"/>
      <c r="AE97" s="1073"/>
      <c r="AF97" s="1214"/>
      <c r="AG97" s="981"/>
      <c r="AH97" s="992"/>
      <c r="AI97" s="993"/>
      <c r="AJ97" s="994"/>
      <c r="AK97" s="1077"/>
      <c r="AL97" s="981"/>
      <c r="AM97" s="983"/>
      <c r="AN97" s="1039"/>
    </row>
    <row r="98" spans="1:40" s="1037" customFormat="1" ht="9.75" customHeight="1">
      <c r="A98" s="1086" t="s">
        <v>384</v>
      </c>
      <c r="B98" s="2239">
        <f>'[1]затраты вспом.'!B98+'[2]затраты вспом.'!B98</f>
        <v>1130.3642161092548</v>
      </c>
      <c r="C98" s="982"/>
      <c r="D98" s="982"/>
      <c r="E98" s="982"/>
      <c r="F98" s="982"/>
      <c r="G98" s="983"/>
      <c r="H98" s="984">
        <f>SUM(C98:G98)</f>
        <v>0</v>
      </c>
      <c r="I98" s="2239">
        <f>'[1]затраты вспом.'!I98+'[2]затраты вспом.'!I98</f>
        <v>0</v>
      </c>
      <c r="J98" s="2239">
        <f>'[1]затраты вспом.'!J98+'[2]затраты вспом.'!J98</f>
        <v>1</v>
      </c>
      <c r="K98" s="981">
        <f>'[1]затраты вспом.'!K98</f>
        <v>0</v>
      </c>
      <c r="L98" s="2239">
        <f>'[1]затраты вспом.'!L98+'[2]затраты вспом.'!L98</f>
        <v>18.906182848106667</v>
      </c>
      <c r="M98" s="981">
        <f t="shared" ref="M98:M99" si="131">SUM(J98:L98)</f>
        <v>19.906182848106667</v>
      </c>
      <c r="N98" s="2239">
        <f>'[1]затраты вспом.'!N98+'[2]затраты вспом.'!N98</f>
        <v>276.96882999977669</v>
      </c>
      <c r="O98" s="981">
        <f>'[1]затраты вспом.'!O98</f>
        <v>0</v>
      </c>
      <c r="P98" s="981">
        <f>'[1]затраты вспом.'!P98</f>
        <v>0</v>
      </c>
      <c r="Q98" s="981">
        <f>SUM(N98:P98)</f>
        <v>276.96882999977669</v>
      </c>
      <c r="R98" s="2239">
        <f>'[1]затраты вспом.'!R98+'[2]затраты вспом.'!R98</f>
        <v>55.606962376790598</v>
      </c>
      <c r="S98" s="981">
        <f>'[1]затраты вспом.'!S98</f>
        <v>0</v>
      </c>
      <c r="T98" s="981">
        <f>'[1]затраты вспом.'!T98</f>
        <v>0</v>
      </c>
      <c r="U98" s="981">
        <f>SUM(R98:T98)</f>
        <v>55.606962376790598</v>
      </c>
      <c r="V98" s="2239">
        <f>'[1]затраты вспом.'!V98+'[2]затраты вспом.'!V98</f>
        <v>0</v>
      </c>
      <c r="W98" s="981">
        <f>'[1]затраты вспом.'!W98</f>
        <v>0</v>
      </c>
      <c r="X98" s="981">
        <f>'[1]затраты вспом.'!X98</f>
        <v>0</v>
      </c>
      <c r="Y98" s="981">
        <f>SUM(V98:X98)</f>
        <v>0</v>
      </c>
      <c r="Z98" s="2239">
        <f>'[1]затраты вспом.'!Z98+'[2]затраты вспом.'!Z98</f>
        <v>45.02426535565769</v>
      </c>
      <c r="AA98" s="981">
        <f>'[1]затраты вспом.'!AA98</f>
        <v>0</v>
      </c>
      <c r="AB98" s="981">
        <f>'[1]затраты вспом.'!AB98</f>
        <v>0</v>
      </c>
      <c r="AC98" s="981">
        <f>B98+H98+I98+M98+Q98+U98+Y98+Z98+AA98+AB98</f>
        <v>1527.8704566895865</v>
      </c>
      <c r="AD98" s="983"/>
      <c r="AE98" s="1073"/>
      <c r="AF98" s="1214"/>
      <c r="AG98" s="991">
        <f>SUM(AD98:AF98)</f>
        <v>0</v>
      </c>
      <c r="AH98" s="992"/>
      <c r="AI98" s="993"/>
      <c r="AJ98" s="994"/>
      <c r="AK98" s="1077"/>
      <c r="AL98" s="981"/>
      <c r="AM98" s="983"/>
      <c r="AN98" s="1039">
        <f t="shared" si="130"/>
        <v>1527.8704566895865</v>
      </c>
    </row>
    <row r="99" spans="1:40" s="1037" customFormat="1" ht="9.75" customHeight="1">
      <c r="A99" s="1086" t="s">
        <v>454</v>
      </c>
      <c r="B99" s="2239">
        <f>'[1]затраты вспом.'!B99+'[2]затраты вспом.'!B99</f>
        <v>1409.3651841507406</v>
      </c>
      <c r="C99" s="982"/>
      <c r="D99" s="982"/>
      <c r="E99" s="982"/>
      <c r="F99" s="982"/>
      <c r="G99" s="983"/>
      <c r="H99" s="984">
        <f>SUM(C99:G99)</f>
        <v>0</v>
      </c>
      <c r="I99" s="2239">
        <f>'[1]затраты вспом.'!I99+'[2]затраты вспом.'!I99</f>
        <v>153.04505219184776</v>
      </c>
      <c r="J99" s="2239">
        <f>'[1]затраты вспом.'!J99+'[2]затраты вспом.'!J99</f>
        <v>0</v>
      </c>
      <c r="K99" s="981">
        <f>'[1]затраты вспом.'!K99</f>
        <v>0</v>
      </c>
      <c r="L99" s="2239">
        <f>'[1]затраты вспом.'!L99+'[2]затраты вспом.'!L99</f>
        <v>119.25438411882666</v>
      </c>
      <c r="M99" s="981">
        <f t="shared" si="131"/>
        <v>119.25438411882666</v>
      </c>
      <c r="N99" s="2239">
        <f>'[1]затраты вспом.'!N99+'[2]затраты вспом.'!N99</f>
        <v>567.7336999995689</v>
      </c>
      <c r="O99" s="981">
        <f>'[1]затраты вспом.'!O99</f>
        <v>0</v>
      </c>
      <c r="P99" s="981">
        <f>'[1]затраты вспом.'!P99</f>
        <v>0</v>
      </c>
      <c r="Q99" s="981">
        <f>SUM(N99:P99)</f>
        <v>567.7336999995689</v>
      </c>
      <c r="R99" s="2239">
        <f>'[1]затраты вспом.'!R99+'[2]затраты вспом.'!R99</f>
        <v>54.236040903528192</v>
      </c>
      <c r="S99" s="981">
        <f>'[1]затраты вспом.'!S99</f>
        <v>0</v>
      </c>
      <c r="T99" s="981">
        <f>'[1]затраты вспом.'!T99</f>
        <v>0</v>
      </c>
      <c r="U99" s="981">
        <f>SUM(R99:T99)</f>
        <v>54.236040903528192</v>
      </c>
      <c r="V99" s="2239">
        <f>'[1]затраты вспом.'!V99+'[2]затраты вспом.'!V99</f>
        <v>190.20483400301805</v>
      </c>
      <c r="W99" s="981">
        <f>'[1]затраты вспом.'!W99</f>
        <v>0</v>
      </c>
      <c r="X99" s="981">
        <f>'[1]затраты вспом.'!X99</f>
        <v>0</v>
      </c>
      <c r="Y99" s="981">
        <f>SUM(V99:X99)</f>
        <v>190.20483400301805</v>
      </c>
      <c r="Z99" s="2239">
        <f>'[1]затраты вспом.'!Z99+'[2]затраты вспом.'!Z99</f>
        <v>39.587530672992074</v>
      </c>
      <c r="AA99" s="981">
        <f>'[1]затраты вспом.'!AA99</f>
        <v>0</v>
      </c>
      <c r="AB99" s="981">
        <f>'[1]затраты вспом.'!AB99</f>
        <v>0</v>
      </c>
      <c r="AC99" s="981">
        <f>B99+H99+I99+M99+Q99+U99+Y99+Z99+AA99+AB99</f>
        <v>2533.4267260405222</v>
      </c>
      <c r="AD99" s="983"/>
      <c r="AE99" s="1073"/>
      <c r="AF99" s="1214"/>
      <c r="AG99" s="991">
        <f>SUM(AD99:AF99)</f>
        <v>0</v>
      </c>
      <c r="AH99" s="992"/>
      <c r="AI99" s="993"/>
      <c r="AJ99" s="994"/>
      <c r="AK99" s="1077"/>
      <c r="AL99" s="981"/>
      <c r="AM99" s="983"/>
      <c r="AN99" s="1039">
        <f t="shared" si="130"/>
        <v>2533.4267260405222</v>
      </c>
    </row>
    <row r="100" spans="1:40" s="1037" customFormat="1" ht="9.75" customHeight="1">
      <c r="A100" s="1086" t="s">
        <v>455</v>
      </c>
      <c r="B100" s="981"/>
      <c r="C100" s="1187"/>
      <c r="D100" s="985"/>
      <c r="E100" s="983"/>
      <c r="F100" s="985"/>
      <c r="G100" s="1077"/>
      <c r="H100" s="984"/>
      <c r="I100" s="981"/>
      <c r="J100" s="1187"/>
      <c r="K100" s="985"/>
      <c r="L100" s="1077"/>
      <c r="M100" s="981"/>
      <c r="N100" s="1187"/>
      <c r="O100" s="985"/>
      <c r="P100" s="1077"/>
      <c r="Q100" s="991">
        <f t="shared" si="125"/>
        <v>0</v>
      </c>
      <c r="R100" s="982"/>
      <c r="S100" s="1069"/>
      <c r="T100" s="1044"/>
      <c r="U100" s="991">
        <f>SUM(R100:T100)</f>
        <v>0</v>
      </c>
      <c r="V100" s="2239">
        <f>'[1]затраты вспом.'!V100+'[2]затраты вспом.'!V100</f>
        <v>0</v>
      </c>
      <c r="W100" s="1069"/>
      <c r="X100" s="1070"/>
      <c r="Y100" s="991">
        <f>SUM(V100:X100)</f>
        <v>0</v>
      </c>
      <c r="Z100" s="2239">
        <f>'[1]затраты вспом.'!Z100+'[2]затраты вспом.'!Z100</f>
        <v>0</v>
      </c>
      <c r="AA100" s="982"/>
      <c r="AB100" s="983"/>
      <c r="AC100" s="981">
        <f>B100+H100+I100+M100+Q100+U100+Y100+Z100+AA100+AB100</f>
        <v>0</v>
      </c>
      <c r="AD100" s="983"/>
      <c r="AE100" s="1073"/>
      <c r="AF100" s="1214"/>
      <c r="AG100" s="991">
        <f>SUM(AD100:AF100)</f>
        <v>0</v>
      </c>
      <c r="AH100" s="992"/>
      <c r="AI100" s="993"/>
      <c r="AJ100" s="994"/>
      <c r="AK100" s="1077"/>
      <c r="AL100" s="981"/>
      <c r="AM100" s="983"/>
      <c r="AN100" s="1039">
        <f t="shared" si="130"/>
        <v>0</v>
      </c>
    </row>
    <row r="101" spans="1:40" s="1037" customFormat="1" ht="9.75" customHeight="1">
      <c r="A101" s="1086" t="s">
        <v>456</v>
      </c>
      <c r="B101" s="981"/>
      <c r="C101" s="1187"/>
      <c r="D101" s="985"/>
      <c r="E101" s="983"/>
      <c r="F101" s="985"/>
      <c r="G101" s="1077"/>
      <c r="H101" s="984"/>
      <c r="I101" s="981"/>
      <c r="J101" s="1187"/>
      <c r="K101" s="985"/>
      <c r="L101" s="1077"/>
      <c r="M101" s="981"/>
      <c r="N101" s="1187"/>
      <c r="O101" s="985"/>
      <c r="P101" s="1077"/>
      <c r="Q101" s="991">
        <f t="shared" si="125"/>
        <v>0</v>
      </c>
      <c r="R101" s="982"/>
      <c r="S101" s="1069"/>
      <c r="T101" s="1044"/>
      <c r="U101" s="991">
        <f>SUM(R101:T101)</f>
        <v>0</v>
      </c>
      <c r="V101" s="2239">
        <f>'[1]затраты вспом.'!V101+'[2]затраты вспом.'!V101</f>
        <v>0</v>
      </c>
      <c r="W101" s="1069"/>
      <c r="X101" s="1070"/>
      <c r="Y101" s="991">
        <f>SUM(V101:X101)</f>
        <v>0</v>
      </c>
      <c r="Z101" s="2239">
        <f>'[1]затраты вспом.'!Z101+'[2]затраты вспом.'!Z101</f>
        <v>0</v>
      </c>
      <c r="AA101" s="982"/>
      <c r="AB101" s="983"/>
      <c r="AC101" s="981">
        <f>B101+H101+I101+M101+Q101+U101+Y101+Z101+AA101+AB101</f>
        <v>0</v>
      </c>
      <c r="AD101" s="983"/>
      <c r="AE101" s="1073"/>
      <c r="AF101" s="1214"/>
      <c r="AG101" s="991">
        <f>SUM(AD101:AF101)</f>
        <v>0</v>
      </c>
      <c r="AH101" s="992"/>
      <c r="AI101" s="993"/>
      <c r="AJ101" s="994"/>
      <c r="AK101" s="1077"/>
      <c r="AL101" s="1081"/>
      <c r="AM101" s="1001"/>
      <c r="AN101" s="1075">
        <f t="shared" si="130"/>
        <v>0</v>
      </c>
    </row>
    <row r="102" spans="1:40" s="1037" customFormat="1" ht="9.75" customHeight="1">
      <c r="A102" s="1086" t="s">
        <v>399</v>
      </c>
      <c r="B102" s="981">
        <f>B99+B100+B101</f>
        <v>1409.3651841507406</v>
      </c>
      <c r="C102" s="1187"/>
      <c r="D102" s="985"/>
      <c r="E102" s="985"/>
      <c r="F102" s="985"/>
      <c r="G102" s="1077"/>
      <c r="H102" s="981">
        <f>H99+H100+H101</f>
        <v>0</v>
      </c>
      <c r="I102" s="981">
        <f>I99+I100+I101</f>
        <v>153.04505219184776</v>
      </c>
      <c r="J102" s="2239">
        <f>'[1]затраты вспом.'!J102+'[2]затраты вспом.'!J102</f>
        <v>0</v>
      </c>
      <c r="K102" s="985">
        <f t="shared" ref="K102" si="132">K99+K100+K101</f>
        <v>0</v>
      </c>
      <c r="L102" s="1077">
        <f t="shared" ref="L102" si="133">L99+L100+L101</f>
        <v>119.25438411882666</v>
      </c>
      <c r="M102" s="981">
        <f>M99+M100+M101</f>
        <v>119.25438411882666</v>
      </c>
      <c r="N102" s="985">
        <f t="shared" ref="N102" si="134">N99+N100+N101</f>
        <v>567.7336999995689</v>
      </c>
      <c r="O102" s="985"/>
      <c r="P102" s="1077"/>
      <c r="Q102" s="981">
        <f>Q99+Q100+Q101</f>
        <v>567.7336999995689</v>
      </c>
      <c r="R102" s="985">
        <f t="shared" ref="R102" si="135">R99+R100+R101</f>
        <v>54.236040903528192</v>
      </c>
      <c r="S102" s="985">
        <f t="shared" ref="S102" si="136">S99+S100+S101</f>
        <v>0</v>
      </c>
      <c r="T102" s="1077">
        <f t="shared" ref="T102" si="137">T99+T100+T101</f>
        <v>0</v>
      </c>
      <c r="U102" s="981">
        <f t="shared" ref="U102:AN102" si="138">SUM(U99:U101)</f>
        <v>54.236040903528192</v>
      </c>
      <c r="V102" s="2239">
        <f>'[1]затраты вспом.'!V102+'[2]затраты вспом.'!V102</f>
        <v>190.20483400301805</v>
      </c>
      <c r="W102" s="985">
        <f t="shared" ref="W102" si="139">W99+W100+W101</f>
        <v>0</v>
      </c>
      <c r="X102" s="1077">
        <f t="shared" ref="X102" si="140">X99+X100+X101</f>
        <v>0</v>
      </c>
      <c r="Y102" s="981">
        <f t="shared" si="138"/>
        <v>190.20483400301805</v>
      </c>
      <c r="Z102" s="2239">
        <f>'[1]затраты вспом.'!Z102+'[2]затраты вспом.'!Z102</f>
        <v>39.587530672992074</v>
      </c>
      <c r="AA102" s="985">
        <f t="shared" ref="AA102" si="141">AA99+AA100+AA101</f>
        <v>0</v>
      </c>
      <c r="AB102" s="1077">
        <f t="shared" ref="AB102" si="142">AB99+AB100+AB101</f>
        <v>0</v>
      </c>
      <c r="AC102" s="981">
        <f t="shared" si="138"/>
        <v>2533.4267260405222</v>
      </c>
      <c r="AD102" s="983">
        <f t="shared" si="138"/>
        <v>0</v>
      </c>
      <c r="AE102" s="1073">
        <f t="shared" si="138"/>
        <v>0</v>
      </c>
      <c r="AF102" s="1214">
        <f t="shared" si="138"/>
        <v>0</v>
      </c>
      <c r="AG102" s="981">
        <f t="shared" si="138"/>
        <v>0</v>
      </c>
      <c r="AH102" s="992"/>
      <c r="AI102" s="993"/>
      <c r="AJ102" s="994"/>
      <c r="AK102" s="1077">
        <f t="shared" si="138"/>
        <v>0</v>
      </c>
      <c r="AL102" s="981">
        <f t="shared" si="138"/>
        <v>0</v>
      </c>
      <c r="AM102" s="1077">
        <f t="shared" si="138"/>
        <v>0</v>
      </c>
      <c r="AN102" s="1087">
        <f t="shared" si="138"/>
        <v>2533.4267260405222</v>
      </c>
    </row>
    <row r="103" spans="1:40" s="1037" customFormat="1" ht="9.75" customHeight="1">
      <c r="A103" s="1086" t="s">
        <v>386</v>
      </c>
      <c r="B103" s="2239">
        <f>'[1]затраты вспом.'!B103+'[2]затраты вспом.'!B103</f>
        <v>0</v>
      </c>
      <c r="C103" s="982"/>
      <c r="D103" s="982"/>
      <c r="E103" s="982"/>
      <c r="F103" s="982"/>
      <c r="G103" s="983"/>
      <c r="H103" s="984">
        <f t="shared" ref="H103:H108" si="143">SUM(C103:G103)</f>
        <v>0</v>
      </c>
      <c r="I103" s="2239">
        <f>'[1]затраты вспом.'!I103+'[2]затраты вспом.'!I103</f>
        <v>5.8118374250068756</v>
      </c>
      <c r="J103" s="2239">
        <f>'[1]затраты вспом.'!J103+'[2]затраты вспом.'!J103</f>
        <v>0</v>
      </c>
      <c r="K103" s="981">
        <f>'[1]затраты вспом.'!K103</f>
        <v>0</v>
      </c>
      <c r="L103" s="2239">
        <f>'[1]затраты вспом.'!L103+'[2]затраты вспом.'!L103</f>
        <v>9.173414162986667</v>
      </c>
      <c r="M103" s="981">
        <f t="shared" ref="M103:M108" si="144">SUM(J103:L103)</f>
        <v>9.173414162986667</v>
      </c>
      <c r="N103" s="2239">
        <f>'[1]затраты вспом.'!N103+'[2]затраты вспом.'!N103</f>
        <v>0</v>
      </c>
      <c r="O103" s="981">
        <f>'[1]затраты вспом.'!O103</f>
        <v>0</v>
      </c>
      <c r="P103" s="981">
        <f>'[1]затраты вспом.'!P103</f>
        <v>0</v>
      </c>
      <c r="Q103" s="981">
        <f t="shared" ref="Q103:Q108" si="145">SUM(N103:P103)</f>
        <v>0</v>
      </c>
      <c r="R103" s="2239">
        <f>'[1]затраты вспом.'!R103+'[2]затраты вспом.'!R103</f>
        <v>3.7832616350626145</v>
      </c>
      <c r="S103" s="981">
        <f>'[1]затраты вспом.'!S103</f>
        <v>0</v>
      </c>
      <c r="T103" s="981">
        <f>'[1]затраты вспом.'!T103</f>
        <v>0</v>
      </c>
      <c r="U103" s="981">
        <f t="shared" ref="U103:U108" si="146">SUM(R103:T103)</f>
        <v>3.7832616350626145</v>
      </c>
      <c r="V103" s="2239">
        <f>'[1]затраты вспом.'!V103+'[2]затраты вспом.'!V103</f>
        <v>75.705452828640631</v>
      </c>
      <c r="W103" s="981">
        <f>'[1]затраты вспом.'!W103</f>
        <v>0</v>
      </c>
      <c r="X103" s="981">
        <f>'[1]затраты вспом.'!X103</f>
        <v>0</v>
      </c>
      <c r="Y103" s="981">
        <f t="shared" ref="Y103:Y108" si="147">SUM(V103:X103)</f>
        <v>75.705452828640631</v>
      </c>
      <c r="Z103" s="2239">
        <f>'[1]затраты вспом.'!Z103+'[2]затраты вспом.'!Z103</f>
        <v>2.8704181039994223</v>
      </c>
      <c r="AA103" s="981">
        <f>'[1]затраты вспом.'!AA103</f>
        <v>0</v>
      </c>
      <c r="AB103" s="981">
        <f>'[1]затраты вспом.'!AB103</f>
        <v>0</v>
      </c>
      <c r="AC103" s="981">
        <f t="shared" ref="AC103:AC108" si="148">B103+H103+I103+M103+Q103+U103+Y103+Z103+AA103+AB103</f>
        <v>97.344384155696218</v>
      </c>
      <c r="AD103" s="983"/>
      <c r="AE103" s="1073"/>
      <c r="AF103" s="1214"/>
      <c r="AG103" s="991">
        <f t="shared" ref="AG103:AG108" si="149">SUM(AD103:AF103)</f>
        <v>0</v>
      </c>
      <c r="AH103" s="992"/>
      <c r="AI103" s="993"/>
      <c r="AJ103" s="994"/>
      <c r="AK103" s="1077"/>
      <c r="AL103" s="991"/>
      <c r="AM103" s="1044"/>
      <c r="AN103" s="1039">
        <f t="shared" ref="AN103:AN108" si="150">AC103+AG103+AK103+AL103+AM103</f>
        <v>97.344384155696218</v>
      </c>
    </row>
    <row r="104" spans="1:40" s="1037" customFormat="1" ht="9.75" customHeight="1">
      <c r="A104" s="1086" t="s">
        <v>387</v>
      </c>
      <c r="B104" s="2239">
        <f>'[1]затраты вспом.'!B104+'[2]затраты вспом.'!B104</f>
        <v>103</v>
      </c>
      <c r="C104" s="982"/>
      <c r="D104" s="982"/>
      <c r="E104" s="982"/>
      <c r="F104" s="982"/>
      <c r="G104" s="983"/>
      <c r="H104" s="984">
        <f t="shared" si="143"/>
        <v>0</v>
      </c>
      <c r="I104" s="2239">
        <f>'[1]затраты вспом.'!I104+'[2]затраты вспом.'!I104</f>
        <v>105</v>
      </c>
      <c r="J104" s="2239">
        <f>'[1]затраты вспом.'!J104+'[2]затраты вспом.'!J104</f>
        <v>0</v>
      </c>
      <c r="K104" s="981">
        <f>'[1]затраты вспом.'!K104</f>
        <v>0</v>
      </c>
      <c r="L104" s="2239">
        <f>'[1]затраты вспом.'!L104+'[2]затраты вспом.'!L104</f>
        <v>366.37721199733335</v>
      </c>
      <c r="M104" s="981">
        <f t="shared" si="144"/>
        <v>366.37721199733335</v>
      </c>
      <c r="N104" s="2239">
        <f>'[1]затраты вспом.'!N104+'[2]затраты вспом.'!N104</f>
        <v>1384.0541199989616</v>
      </c>
      <c r="O104" s="981">
        <f>'[1]затраты вспом.'!O104</f>
        <v>0</v>
      </c>
      <c r="P104" s="981">
        <f>'[1]затраты вспом.'!P104</f>
        <v>0</v>
      </c>
      <c r="Q104" s="981">
        <f t="shared" si="145"/>
        <v>1384.0541199989616</v>
      </c>
      <c r="R104" s="2239">
        <f>'[1]затраты вспом.'!R104+'[2]затраты вспом.'!R104</f>
        <v>39.42</v>
      </c>
      <c r="S104" s="981">
        <f>'[1]затраты вспом.'!S104</f>
        <v>0</v>
      </c>
      <c r="T104" s="981">
        <f>'[1]затраты вспом.'!T104</f>
        <v>0</v>
      </c>
      <c r="U104" s="981">
        <f t="shared" si="146"/>
        <v>39.42</v>
      </c>
      <c r="V104" s="2239">
        <f>'[1]затраты вспом.'!V104+'[2]затраты вспом.'!V104</f>
        <v>75.705452828640631</v>
      </c>
      <c r="W104" s="981">
        <f>'[1]затраты вспом.'!W104</f>
        <v>0</v>
      </c>
      <c r="X104" s="981">
        <f>'[1]затраты вспом.'!X104</f>
        <v>0</v>
      </c>
      <c r="Y104" s="981">
        <f t="shared" si="147"/>
        <v>75.705452828640631</v>
      </c>
      <c r="Z104" s="2239">
        <f>'[1]затраты вспом.'!Z104+'[2]затраты вспом.'!Z104</f>
        <v>8.8063216699982139</v>
      </c>
      <c r="AA104" s="981">
        <f>'[1]затраты вспом.'!AA104</f>
        <v>0</v>
      </c>
      <c r="AB104" s="981">
        <f>'[1]затраты вспом.'!AB104</f>
        <v>0</v>
      </c>
      <c r="AC104" s="981">
        <f t="shared" si="148"/>
        <v>2082.3631064949341</v>
      </c>
      <c r="AD104" s="983"/>
      <c r="AE104" s="1073"/>
      <c r="AF104" s="1214"/>
      <c r="AG104" s="991">
        <f t="shared" si="149"/>
        <v>0</v>
      </c>
      <c r="AH104" s="992"/>
      <c r="AI104" s="993"/>
      <c r="AJ104" s="994"/>
      <c r="AK104" s="1077"/>
      <c r="AL104" s="981"/>
      <c r="AM104" s="983"/>
      <c r="AN104" s="1039">
        <f t="shared" si="150"/>
        <v>2082.3631064949341</v>
      </c>
    </row>
    <row r="105" spans="1:40" s="1037" customFormat="1" ht="9.75" customHeight="1">
      <c r="A105" s="1086" t="s">
        <v>388</v>
      </c>
      <c r="B105" s="2239">
        <f>'[1]затраты вспом.'!B105+'[2]затраты вспом.'!B105</f>
        <v>0</v>
      </c>
      <c r="C105" s="982"/>
      <c r="D105" s="982"/>
      <c r="E105" s="982"/>
      <c r="F105" s="982"/>
      <c r="G105" s="983"/>
      <c r="H105" s="984">
        <f t="shared" si="143"/>
        <v>0</v>
      </c>
      <c r="I105" s="2239">
        <f>'[1]затраты вспом.'!I105+'[2]затраты вспом.'!I105</f>
        <v>19.372791416689587</v>
      </c>
      <c r="J105" s="2239">
        <f>'[1]затраты вспом.'!J105+'[2]затраты вспом.'!J105</f>
        <v>0</v>
      </c>
      <c r="K105" s="981">
        <f>'[1]затраты вспом.'!K105</f>
        <v>0</v>
      </c>
      <c r="L105" s="2239">
        <f>'[1]затраты вспом.'!L105+'[2]затраты вспом.'!L105</f>
        <v>0</v>
      </c>
      <c r="M105" s="981">
        <f t="shared" si="144"/>
        <v>0</v>
      </c>
      <c r="N105" s="2239">
        <f>'[1]затраты вспом.'!N105+'[2]затраты вспом.'!N105</f>
        <v>1408.91164999896</v>
      </c>
      <c r="O105" s="981">
        <f>'[1]затраты вспом.'!O105</f>
        <v>0</v>
      </c>
      <c r="P105" s="981">
        <f>'[1]затраты вспом.'!P105</f>
        <v>0</v>
      </c>
      <c r="Q105" s="981">
        <f t="shared" si="145"/>
        <v>1408.91164999896</v>
      </c>
      <c r="R105" s="2239">
        <f>'[1]затраты вспом.'!R105+'[2]затраты вспом.'!R105</f>
        <v>0</v>
      </c>
      <c r="S105" s="981">
        <f>'[1]затраты вспом.'!S105</f>
        <v>0</v>
      </c>
      <c r="T105" s="981">
        <f>'[1]затраты вспом.'!T105</f>
        <v>0</v>
      </c>
      <c r="U105" s="981">
        <f t="shared" si="146"/>
        <v>0</v>
      </c>
      <c r="V105" s="2239">
        <f>'[1]затраты вспом.'!V105+'[2]затраты вспом.'!V105</f>
        <v>0</v>
      </c>
      <c r="W105" s="981">
        <f>'[1]затраты вспом.'!W105</f>
        <v>0</v>
      </c>
      <c r="X105" s="981">
        <f>'[1]затраты вспом.'!X105</f>
        <v>0</v>
      </c>
      <c r="Y105" s="981">
        <f t="shared" si="147"/>
        <v>0</v>
      </c>
      <c r="Z105" s="2239">
        <f>'[1]затраты вспом.'!Z105+'[2]затраты вспом.'!Z105</f>
        <v>0</v>
      </c>
      <c r="AA105" s="981">
        <f>'[1]затраты вспом.'!AA105</f>
        <v>0</v>
      </c>
      <c r="AB105" s="981">
        <f>'[1]затраты вспом.'!AB105</f>
        <v>0</v>
      </c>
      <c r="AC105" s="981">
        <f t="shared" si="148"/>
        <v>1428.2844414156496</v>
      </c>
      <c r="AD105" s="983"/>
      <c r="AE105" s="1073"/>
      <c r="AF105" s="1214"/>
      <c r="AG105" s="991">
        <f t="shared" si="149"/>
        <v>0</v>
      </c>
      <c r="AH105" s="992"/>
      <c r="AI105" s="993"/>
      <c r="AJ105" s="994"/>
      <c r="AK105" s="1077"/>
      <c r="AL105" s="981"/>
      <c r="AM105" s="983"/>
      <c r="AN105" s="1039">
        <f t="shared" si="150"/>
        <v>1428.2844414156496</v>
      </c>
    </row>
    <row r="106" spans="1:40" s="1037" customFormat="1" ht="9.75" customHeight="1">
      <c r="A106" s="1086" t="s">
        <v>389</v>
      </c>
      <c r="B106" s="2239">
        <f>'[1]затраты вспом.'!B106+'[2]затраты вспом.'!B106</f>
        <v>102</v>
      </c>
      <c r="C106" s="982"/>
      <c r="D106" s="982"/>
      <c r="E106" s="982"/>
      <c r="F106" s="982"/>
      <c r="G106" s="983"/>
      <c r="H106" s="984">
        <f t="shared" si="143"/>
        <v>0</v>
      </c>
      <c r="I106" s="2239">
        <f>'[1]затраты вспом.'!I106+'[2]затраты вспом.'!I106</f>
        <v>175</v>
      </c>
      <c r="J106" s="2239">
        <f>'[1]затраты вспом.'!J106+'[2]затраты вспом.'!J106</f>
        <v>0</v>
      </c>
      <c r="K106" s="981">
        <f>'[1]затраты вспом.'!K106</f>
        <v>0</v>
      </c>
      <c r="L106" s="2239">
        <f>'[1]затраты вспом.'!L106+'[2]затраты вспом.'!L106</f>
        <v>0</v>
      </c>
      <c r="M106" s="981">
        <f t="shared" si="144"/>
        <v>0</v>
      </c>
      <c r="N106" s="2239">
        <f>'[1]затраты вспом.'!N106+'[2]затраты вспом.'!N106</f>
        <v>966.25582999927701</v>
      </c>
      <c r="O106" s="981">
        <f>'[1]затраты вспом.'!O106</f>
        <v>0</v>
      </c>
      <c r="P106" s="981">
        <f>'[1]затраты вспом.'!P106</f>
        <v>0</v>
      </c>
      <c r="Q106" s="981">
        <f t="shared" si="145"/>
        <v>966.25582999927701</v>
      </c>
      <c r="R106" s="2239">
        <f>'[1]затраты вспом.'!R106+'[2]затраты вспом.'!R106</f>
        <v>0</v>
      </c>
      <c r="S106" s="981">
        <f>'[1]затраты вспом.'!S106</f>
        <v>0</v>
      </c>
      <c r="T106" s="981">
        <f>'[1]затраты вспом.'!T106</f>
        <v>0</v>
      </c>
      <c r="U106" s="981">
        <f t="shared" si="146"/>
        <v>0</v>
      </c>
      <c r="V106" s="2239">
        <f>'[1]затраты вспом.'!V106+'[2]затраты вспом.'!V106</f>
        <v>0</v>
      </c>
      <c r="W106" s="981">
        <f>'[1]затраты вспом.'!W106</f>
        <v>0</v>
      </c>
      <c r="X106" s="981">
        <f>'[1]затраты вспом.'!X106</f>
        <v>0</v>
      </c>
      <c r="Y106" s="981">
        <f t="shared" si="147"/>
        <v>0</v>
      </c>
      <c r="Z106" s="2239">
        <f>'[1]затраты вспом.'!Z106+'[2]затраты вспом.'!Z106</f>
        <v>0</v>
      </c>
      <c r="AA106" s="981">
        <f>'[1]затраты вспом.'!AA106</f>
        <v>0</v>
      </c>
      <c r="AB106" s="981">
        <f>'[1]затраты вспом.'!AB106</f>
        <v>0</v>
      </c>
      <c r="AC106" s="981">
        <f t="shared" si="148"/>
        <v>1243.255829999277</v>
      </c>
      <c r="AD106" s="983"/>
      <c r="AE106" s="1073"/>
      <c r="AF106" s="1214"/>
      <c r="AG106" s="991">
        <f t="shared" si="149"/>
        <v>0</v>
      </c>
      <c r="AH106" s="992"/>
      <c r="AI106" s="993"/>
      <c r="AJ106" s="994"/>
      <c r="AK106" s="1077"/>
      <c r="AL106" s="981"/>
      <c r="AM106" s="983"/>
      <c r="AN106" s="1039">
        <f t="shared" si="150"/>
        <v>1243.255829999277</v>
      </c>
    </row>
    <row r="107" spans="1:40" s="1037" customFormat="1" ht="9.75" customHeight="1">
      <c r="A107" s="1086" t="s">
        <v>390</v>
      </c>
      <c r="B107" s="2239">
        <f>'[1]затраты вспом.'!B107+'[2]затраты вспом.'!B107</f>
        <v>106.67684072174455</v>
      </c>
      <c r="C107" s="982"/>
      <c r="D107" s="982"/>
      <c r="E107" s="982"/>
      <c r="F107" s="982"/>
      <c r="G107" s="983"/>
      <c r="H107" s="984">
        <f t="shared" si="143"/>
        <v>0</v>
      </c>
      <c r="I107" s="2239">
        <f>'[1]затраты вспом.'!I107+'[2]затраты вспом.'!I107</f>
        <v>0</v>
      </c>
      <c r="J107" s="2239">
        <f>'[1]затраты вспом.'!J107+'[2]затраты вспом.'!J107</f>
        <v>0</v>
      </c>
      <c r="K107" s="981">
        <f>'[1]затраты вспом.'!K107</f>
        <v>0</v>
      </c>
      <c r="L107" s="2239">
        <f>'[1]затраты вспом.'!L107+'[2]затраты вспом.'!L107</f>
        <v>0</v>
      </c>
      <c r="M107" s="981">
        <f t="shared" si="144"/>
        <v>0</v>
      </c>
      <c r="N107" s="2239">
        <f>'[1]затраты вспом.'!N107+'[2]затраты вспом.'!N107</f>
        <v>0</v>
      </c>
      <c r="O107" s="981">
        <f>'[1]затраты вспом.'!O107</f>
        <v>0</v>
      </c>
      <c r="P107" s="981">
        <f>'[1]затраты вспом.'!P107</f>
        <v>0</v>
      </c>
      <c r="Q107" s="981">
        <f t="shared" si="145"/>
        <v>0</v>
      </c>
      <c r="R107" s="2239">
        <f>'[1]затраты вспом.'!R107+'[2]затраты вспом.'!R107</f>
        <v>0</v>
      </c>
      <c r="S107" s="981">
        <f>'[1]затраты вспом.'!S107</f>
        <v>0</v>
      </c>
      <c r="T107" s="981">
        <f>'[1]затраты вспом.'!T107</f>
        <v>0</v>
      </c>
      <c r="U107" s="981">
        <f t="shared" si="146"/>
        <v>0</v>
      </c>
      <c r="V107" s="2239">
        <f>'[1]затраты вспом.'!V107+'[2]затраты вспом.'!V107</f>
        <v>0</v>
      </c>
      <c r="W107" s="981">
        <f>'[1]затраты вспом.'!W107</f>
        <v>0</v>
      </c>
      <c r="X107" s="981">
        <f>'[1]затраты вспом.'!X107</f>
        <v>0</v>
      </c>
      <c r="Y107" s="981">
        <f t="shared" si="147"/>
        <v>0</v>
      </c>
      <c r="Z107" s="2239">
        <f>'[1]затраты вспом.'!Z107+'[2]затраты вспом.'!Z107</f>
        <v>0</v>
      </c>
      <c r="AA107" s="981">
        <f>'[1]затраты вспом.'!AA107</f>
        <v>0</v>
      </c>
      <c r="AB107" s="981">
        <f>'[1]затраты вспом.'!AB107</f>
        <v>0</v>
      </c>
      <c r="AC107" s="981">
        <f t="shared" si="148"/>
        <v>106.67684072174455</v>
      </c>
      <c r="AD107" s="983"/>
      <c r="AE107" s="1073"/>
      <c r="AF107" s="1214"/>
      <c r="AG107" s="991">
        <f t="shared" si="149"/>
        <v>0</v>
      </c>
      <c r="AH107" s="992"/>
      <c r="AI107" s="993"/>
      <c r="AJ107" s="994"/>
      <c r="AK107" s="1077"/>
      <c r="AL107" s="981"/>
      <c r="AM107" s="983"/>
      <c r="AN107" s="1039">
        <f t="shared" si="150"/>
        <v>106.67684072174455</v>
      </c>
    </row>
    <row r="108" spans="1:40" s="1037" customFormat="1" ht="9.75" customHeight="1" thickBot="1">
      <c r="A108" s="1200" t="s">
        <v>571</v>
      </c>
      <c r="B108" s="2239">
        <f>'[1]затраты вспом.'!B108+'[2]затраты вспом.'!B108</f>
        <v>285.15540116004797</v>
      </c>
      <c r="C108" s="982"/>
      <c r="D108" s="982"/>
      <c r="E108" s="982"/>
      <c r="F108" s="982"/>
      <c r="G108" s="983"/>
      <c r="H108" s="984">
        <f t="shared" si="143"/>
        <v>0</v>
      </c>
      <c r="I108" s="2239">
        <f>'[1]затраты вспом.'!I108+'[2]затраты вспом.'!I108</f>
        <v>317.7137792337092</v>
      </c>
      <c r="J108" s="2239">
        <f>'[1]затраты вспом.'!J108+'[2]затраты вспом.'!J108</f>
        <v>0</v>
      </c>
      <c r="K108" s="981">
        <f>'[1]затраты вспом.'!K108</f>
        <v>0</v>
      </c>
      <c r="L108" s="2239">
        <f>'[1]затраты вспом.'!L108+'[2]затраты вспом.'!L108</f>
        <v>0</v>
      </c>
      <c r="M108" s="981">
        <f t="shared" si="144"/>
        <v>0</v>
      </c>
      <c r="N108" s="2239">
        <f>'[1]затраты вспом.'!N108+'[2]затраты вспом.'!N108</f>
        <v>24.985759999980193</v>
      </c>
      <c r="O108" s="981">
        <f>'[1]затраты вспом.'!O108</f>
        <v>0</v>
      </c>
      <c r="P108" s="981">
        <f>'[1]затраты вспом.'!P108</f>
        <v>0</v>
      </c>
      <c r="Q108" s="981">
        <f t="shared" si="145"/>
        <v>24.985759999980193</v>
      </c>
      <c r="R108" s="2239">
        <f>'[1]затраты вспом.'!R108+'[2]затраты вспом.'!R108</f>
        <v>0</v>
      </c>
      <c r="S108" s="981">
        <f>'[1]затраты вспом.'!S108</f>
        <v>0</v>
      </c>
      <c r="T108" s="981">
        <f>'[1]затраты вспом.'!T108</f>
        <v>0</v>
      </c>
      <c r="U108" s="981">
        <f t="shared" si="146"/>
        <v>0</v>
      </c>
      <c r="V108" s="2239">
        <f>'[1]затраты вспом.'!V108+'[2]затраты вспом.'!V108</f>
        <v>475.01312695052991</v>
      </c>
      <c r="W108" s="981">
        <f>'[1]затраты вспом.'!W108</f>
        <v>0</v>
      </c>
      <c r="X108" s="981">
        <f>'[1]затраты вспом.'!X108</f>
        <v>0</v>
      </c>
      <c r="Y108" s="981">
        <f t="shared" si="147"/>
        <v>475.01312695052991</v>
      </c>
      <c r="Z108" s="2239">
        <f>'[1]затраты вспом.'!Z108+'[2]затраты вспом.'!Z108</f>
        <v>0</v>
      </c>
      <c r="AA108" s="981">
        <f>'[1]затраты вспом.'!AA108</f>
        <v>0</v>
      </c>
      <c r="AB108" s="981">
        <f>'[1]затраты вспом.'!AB108</f>
        <v>0</v>
      </c>
      <c r="AC108" s="981">
        <f t="shared" si="148"/>
        <v>1102.8680673442673</v>
      </c>
      <c r="AD108" s="1001"/>
      <c r="AE108" s="1079"/>
      <c r="AF108" s="1273"/>
      <c r="AG108" s="991">
        <f t="shared" si="149"/>
        <v>0</v>
      </c>
      <c r="AH108" s="992"/>
      <c r="AI108" s="993"/>
      <c r="AJ108" s="994"/>
      <c r="AK108" s="1089"/>
      <c r="AL108" s="1081"/>
      <c r="AM108" s="1001"/>
      <c r="AN108" s="1039">
        <f t="shared" si="150"/>
        <v>1102.8680673442673</v>
      </c>
    </row>
    <row r="109" spans="1:40" s="1037" customFormat="1" ht="11.25" customHeight="1" thickBot="1">
      <c r="A109" s="1090" t="s">
        <v>400</v>
      </c>
      <c r="B109" s="1063">
        <f t="shared" ref="B109:AG109" si="151">SUM(B110:B112)</f>
        <v>1194.6878630583003</v>
      </c>
      <c r="C109" s="1063">
        <f t="shared" ref="C109:G109" si="152">SUM(C110:C112)</f>
        <v>0</v>
      </c>
      <c r="D109" s="1063">
        <f t="shared" si="152"/>
        <v>0</v>
      </c>
      <c r="E109" s="1063">
        <f t="shared" si="152"/>
        <v>0</v>
      </c>
      <c r="F109" s="1063">
        <f t="shared" si="152"/>
        <v>0</v>
      </c>
      <c r="G109" s="1063">
        <f t="shared" si="152"/>
        <v>0</v>
      </c>
      <c r="H109" s="1063">
        <f t="shared" si="151"/>
        <v>0</v>
      </c>
      <c r="I109" s="1063">
        <f t="shared" ref="I109:L109" si="153">SUM(I110:I112)</f>
        <v>7034.3178277578536</v>
      </c>
      <c r="J109" s="1082">
        <f t="shared" si="153"/>
        <v>870.17491905670749</v>
      </c>
      <c r="K109" s="1065">
        <f t="shared" si="153"/>
        <v>0</v>
      </c>
      <c r="L109" s="1067">
        <f t="shared" si="153"/>
        <v>86.823071848319998</v>
      </c>
      <c r="M109" s="1091">
        <f t="shared" si="151"/>
        <v>956.99799090502745</v>
      </c>
      <c r="N109" s="1082">
        <f t="shared" si="151"/>
        <v>0</v>
      </c>
      <c r="O109" s="1065">
        <f t="shared" si="151"/>
        <v>0</v>
      </c>
      <c r="P109" s="1067">
        <f t="shared" si="151"/>
        <v>0</v>
      </c>
      <c r="Q109" s="1063">
        <f t="shared" si="151"/>
        <v>0</v>
      </c>
      <c r="R109" s="1082">
        <f t="shared" si="151"/>
        <v>0</v>
      </c>
      <c r="S109" s="1065">
        <f t="shared" si="151"/>
        <v>7.5975717127854399</v>
      </c>
      <c r="T109" s="1067">
        <f t="shared" si="151"/>
        <v>0</v>
      </c>
      <c r="U109" s="1063">
        <f t="shared" si="151"/>
        <v>7.5975717127854399</v>
      </c>
      <c r="V109" s="1082">
        <f t="shared" ref="V109" si="154">SUM(V110:V112)</f>
        <v>131.3417145931034</v>
      </c>
      <c r="W109" s="1065">
        <f t="shared" si="151"/>
        <v>0</v>
      </c>
      <c r="X109" s="1067">
        <f t="shared" si="151"/>
        <v>0</v>
      </c>
      <c r="Y109" s="1063">
        <f t="shared" si="151"/>
        <v>131.3417145931034</v>
      </c>
      <c r="Z109" s="1082">
        <f t="shared" si="151"/>
        <v>0</v>
      </c>
      <c r="AA109" s="1065">
        <f t="shared" si="151"/>
        <v>0</v>
      </c>
      <c r="AB109" s="1064">
        <f t="shared" si="151"/>
        <v>0</v>
      </c>
      <c r="AC109" s="1063">
        <f t="shared" si="151"/>
        <v>9324.9429680270714</v>
      </c>
      <c r="AD109" s="1064">
        <f t="shared" si="151"/>
        <v>0</v>
      </c>
      <c r="AE109" s="1082">
        <f t="shared" si="151"/>
        <v>0</v>
      </c>
      <c r="AF109" s="1201">
        <f t="shared" si="151"/>
        <v>0</v>
      </c>
      <c r="AG109" s="1063">
        <f t="shared" si="151"/>
        <v>0</v>
      </c>
      <c r="AH109" s="992"/>
      <c r="AI109" s="993"/>
      <c r="AJ109" s="994"/>
      <c r="AK109" s="1067">
        <f>SUM(AK110:AK112)</f>
        <v>0</v>
      </c>
      <c r="AL109" s="1063">
        <f>SUM(AL110:AL112)</f>
        <v>0</v>
      </c>
      <c r="AM109" s="1067">
        <f>SUM(AM110:AM112)</f>
        <v>0</v>
      </c>
      <c r="AN109" s="1063">
        <f>SUM(AN110:AN112)</f>
        <v>9324.9429680270714</v>
      </c>
    </row>
    <row r="110" spans="1:40" s="1037" customFormat="1" ht="9.75" customHeight="1" outlineLevel="1">
      <c r="A110" s="1083" t="s">
        <v>639</v>
      </c>
      <c r="B110" s="2239">
        <f>'[1]затраты вспом.'!B110+'[2]затраты вспом.'!B110</f>
        <v>915.39560877385668</v>
      </c>
      <c r="C110" s="982"/>
      <c r="D110" s="982"/>
      <c r="E110" s="982"/>
      <c r="F110" s="982"/>
      <c r="G110" s="983"/>
      <c r="H110" s="984">
        <f t="shared" ref="H110:H115" si="155">SUM(C110:G110)</f>
        <v>0</v>
      </c>
      <c r="I110" s="2239">
        <f>'[1]затраты вспом.'!I110+'[2]затраты вспом.'!I110</f>
        <v>5060.2303823971852</v>
      </c>
      <c r="J110" s="2239">
        <f>'[1]затраты вспом.'!J110+'[2]затраты вспом.'!J110</f>
        <v>0</v>
      </c>
      <c r="K110" s="2239">
        <f>'[1]затраты вспом.'!K110+'[2]затраты вспом.'!K110</f>
        <v>0</v>
      </c>
      <c r="L110" s="2239">
        <f>'[1]затраты вспом.'!L110+'[2]затраты вспом.'!L110</f>
        <v>66.015083624959999</v>
      </c>
      <c r="M110" s="981">
        <f t="shared" ref="M110:M113" si="156">SUM(J110:L110)</f>
        <v>66.015083624959999</v>
      </c>
      <c r="N110" s="2239">
        <f>'[1]затраты вспом.'!N110+'[2]затраты вспом.'!N110</f>
        <v>0</v>
      </c>
      <c r="O110" s="2239">
        <f>'[1]затраты вспом.'!O110+'[2]затраты вспом.'!O110</f>
        <v>0</v>
      </c>
      <c r="P110" s="2239">
        <f>'[1]затраты вспом.'!P110+'[2]затраты вспом.'!P110</f>
        <v>0</v>
      </c>
      <c r="Q110" s="981">
        <f t="shared" ref="Q110:Q115" si="157">SUM(N110:P110)</f>
        <v>0</v>
      </c>
      <c r="R110" s="2239">
        <f>'[1]затраты вспом.'!R110+'[2]затраты вспом.'!R110</f>
        <v>0</v>
      </c>
      <c r="S110" s="2239">
        <f>'[1]затраты вспом.'!S110+'[2]затраты вспом.'!S110</f>
        <v>0</v>
      </c>
      <c r="T110" s="2239">
        <f>'[1]затраты вспом.'!T110+'[2]затраты вспом.'!T110</f>
        <v>0</v>
      </c>
      <c r="U110" s="981">
        <f t="shared" ref="U110:U115" si="158">SUM(R110:T110)</f>
        <v>0</v>
      </c>
      <c r="V110" s="2239">
        <f>'[1]затраты вспом.'!V110+'[2]затраты вспом.'!V110</f>
        <v>0</v>
      </c>
      <c r="W110" s="2239">
        <f>'[1]затраты вспом.'!W110+'[2]затраты вспом.'!W110</f>
        <v>0</v>
      </c>
      <c r="X110" s="2239">
        <f>'[1]затраты вспом.'!X110+'[2]затраты вспом.'!X110</f>
        <v>0</v>
      </c>
      <c r="Y110" s="981">
        <f t="shared" ref="Y110:Y115" si="159">SUM(V110:X110)</f>
        <v>0</v>
      </c>
      <c r="Z110" s="2239">
        <f>'[1]затраты вспом.'!Z110+'[2]затраты вспом.'!Z110</f>
        <v>0</v>
      </c>
      <c r="AA110" s="2239">
        <f>'[1]затраты вспом.'!AA110+'[2]затраты вспом.'!AA110</f>
        <v>0</v>
      </c>
      <c r="AB110" s="2239">
        <f>'[1]затраты вспом.'!AB110+'[2]затраты вспом.'!AB110</f>
        <v>0</v>
      </c>
      <c r="AC110" s="981">
        <f t="shared" ref="AC110:AC113" si="160">B110+H110+I110+M110+Q110+U110+Y110+Z110+AA110+AB110</f>
        <v>6041.6410747960026</v>
      </c>
      <c r="AD110" s="1044"/>
      <c r="AE110" s="1071"/>
      <c r="AF110" s="1272"/>
      <c r="AG110" s="991">
        <f t="shared" ref="AG110:AG116" si="161">SUM(AD110:AF110)</f>
        <v>0</v>
      </c>
      <c r="AH110" s="992"/>
      <c r="AI110" s="993"/>
      <c r="AJ110" s="994"/>
      <c r="AK110" s="990"/>
      <c r="AL110" s="1084"/>
      <c r="AM110" s="1085"/>
      <c r="AN110" s="1092">
        <f t="shared" ref="AN110:AN116" si="162">AC110+AG110+AK110+AL110+AM110</f>
        <v>6041.6410747960026</v>
      </c>
    </row>
    <row r="111" spans="1:40" s="1037" customFormat="1" ht="9.75" customHeight="1">
      <c r="A111" s="1093" t="s">
        <v>466</v>
      </c>
      <c r="B111" s="2239">
        <f>'[1]затраты вспом.'!B111+'[2]затраты вспом.'!B111</f>
        <v>268.60039394302248</v>
      </c>
      <c r="C111" s="982"/>
      <c r="D111" s="982"/>
      <c r="E111" s="982"/>
      <c r="F111" s="982"/>
      <c r="G111" s="983"/>
      <c r="H111" s="984">
        <f t="shared" si="155"/>
        <v>0</v>
      </c>
      <c r="I111" s="2239">
        <f>'[1]затраты вспом.'!I111+'[2]затраты вспом.'!I111</f>
        <v>439.76236515885364</v>
      </c>
      <c r="J111" s="2239">
        <f>'[1]затраты вспом.'!J111+'[2]затраты вспом.'!J111</f>
        <v>0</v>
      </c>
      <c r="K111" s="2239">
        <f>'[1]затраты вспом.'!K111+'[2]затраты вспом.'!K111</f>
        <v>0</v>
      </c>
      <c r="L111" s="2239">
        <f>'[1]затраты вспом.'!L111+'[2]затраты вспом.'!L111</f>
        <v>0</v>
      </c>
      <c r="M111" s="981">
        <f t="shared" si="156"/>
        <v>0</v>
      </c>
      <c r="N111" s="2239">
        <f>'[1]затраты вспом.'!N111+'[2]затраты вспом.'!N111</f>
        <v>0</v>
      </c>
      <c r="O111" s="2239">
        <f>'[1]затраты вспом.'!O111+'[2]затраты вспом.'!O111</f>
        <v>0</v>
      </c>
      <c r="P111" s="2239">
        <f>'[1]затраты вспом.'!P111+'[2]затраты вспом.'!P111</f>
        <v>0</v>
      </c>
      <c r="Q111" s="981">
        <f t="shared" si="157"/>
        <v>0</v>
      </c>
      <c r="R111" s="2239">
        <f>'[1]затраты вспом.'!R111+'[2]затраты вспом.'!R111</f>
        <v>0</v>
      </c>
      <c r="S111" s="2239">
        <f>'[1]затраты вспом.'!S111+'[2]затраты вспом.'!S111</f>
        <v>0</v>
      </c>
      <c r="T111" s="2239">
        <f>'[1]затраты вспом.'!T111+'[2]затраты вспом.'!T111</f>
        <v>0</v>
      </c>
      <c r="U111" s="981">
        <f t="shared" si="158"/>
        <v>0</v>
      </c>
      <c r="V111" s="2239">
        <f>'[1]затраты вспом.'!V111+'[2]затраты вспом.'!V111</f>
        <v>131.3417145931034</v>
      </c>
      <c r="W111" s="2239">
        <f>'[1]затраты вспом.'!W111+'[2]затраты вспом.'!W111</f>
        <v>0</v>
      </c>
      <c r="X111" s="2239">
        <f>'[1]затраты вспом.'!X111+'[2]затраты вспом.'!X111</f>
        <v>0</v>
      </c>
      <c r="Y111" s="981">
        <f t="shared" si="159"/>
        <v>131.3417145931034</v>
      </c>
      <c r="Z111" s="2239">
        <f>'[1]затраты вспом.'!Z111+'[2]затраты вспом.'!Z111</f>
        <v>0</v>
      </c>
      <c r="AA111" s="2239">
        <f>'[1]затраты вспом.'!AA111+'[2]затраты вспом.'!AA111</f>
        <v>0</v>
      </c>
      <c r="AB111" s="2239">
        <f>'[1]затраты вспом.'!AB111+'[2]затраты вспом.'!AB111</f>
        <v>0</v>
      </c>
      <c r="AC111" s="981">
        <f t="shared" si="160"/>
        <v>839.70447369497947</v>
      </c>
      <c r="AD111" s="983"/>
      <c r="AE111" s="1073"/>
      <c r="AF111" s="1214"/>
      <c r="AG111" s="991">
        <f t="shared" si="161"/>
        <v>0</v>
      </c>
      <c r="AH111" s="992"/>
      <c r="AI111" s="993"/>
      <c r="AJ111" s="994"/>
      <c r="AK111" s="1077"/>
      <c r="AL111" s="981"/>
      <c r="AM111" s="1077"/>
      <c r="AN111" s="1094">
        <f t="shared" si="162"/>
        <v>839.70447369497947</v>
      </c>
    </row>
    <row r="112" spans="1:40" s="1037" customFormat="1" ht="9.75" customHeight="1" thickBot="1">
      <c r="A112" s="1093" t="s">
        <v>467</v>
      </c>
      <c r="B112" s="2239">
        <f>'[1]затраты вспом.'!B112+'[2]затраты вспом.'!B112</f>
        <v>10.691860341421281</v>
      </c>
      <c r="C112" s="982"/>
      <c r="D112" s="982"/>
      <c r="E112" s="982"/>
      <c r="F112" s="982"/>
      <c r="G112" s="983"/>
      <c r="H112" s="984">
        <f t="shared" si="155"/>
        <v>0</v>
      </c>
      <c r="I112" s="2239">
        <f>'[1]затраты вспом.'!I112+'[2]затраты вспом.'!I112</f>
        <v>1534.3250802018151</v>
      </c>
      <c r="J112" s="2239">
        <f>'[1]затраты вспом.'!J112+'[2]затраты вспом.'!J112</f>
        <v>870.17491905670749</v>
      </c>
      <c r="K112" s="2239">
        <f>'[1]затраты вспом.'!K112+'[2]затраты вспом.'!K112</f>
        <v>0</v>
      </c>
      <c r="L112" s="2239">
        <f>'[1]затраты вспом.'!L112+'[2]затраты вспом.'!L112</f>
        <v>20.807988223359999</v>
      </c>
      <c r="M112" s="981">
        <f t="shared" si="156"/>
        <v>890.98290728006748</v>
      </c>
      <c r="N112" s="2239">
        <f>'[1]затраты вспом.'!N112+'[2]затраты вспом.'!N112</f>
        <v>0</v>
      </c>
      <c r="O112" s="2239">
        <f>'[1]затраты вспом.'!O112+'[2]затраты вспом.'!O112</f>
        <v>0</v>
      </c>
      <c r="P112" s="2239">
        <f>'[1]затраты вспом.'!P112+'[2]затраты вспом.'!P112</f>
        <v>0</v>
      </c>
      <c r="Q112" s="981">
        <f t="shared" si="157"/>
        <v>0</v>
      </c>
      <c r="R112" s="2239">
        <f>'[1]затраты вспом.'!R112+'[2]затраты вспом.'!R112</f>
        <v>0</v>
      </c>
      <c r="S112" s="2239">
        <f>'[1]затраты вспом.'!S112+'[2]затраты вспом.'!S112</f>
        <v>7.5975717127854399</v>
      </c>
      <c r="T112" s="2239">
        <f>'[1]затраты вспом.'!T112+'[2]затраты вспом.'!T112</f>
        <v>0</v>
      </c>
      <c r="U112" s="981">
        <f t="shared" si="158"/>
        <v>7.5975717127854399</v>
      </c>
      <c r="V112" s="2239">
        <f>'[1]затраты вспом.'!V112+'[2]затраты вспом.'!V112</f>
        <v>0</v>
      </c>
      <c r="W112" s="2239">
        <f>'[1]затраты вспом.'!W112+'[2]затраты вспом.'!W112</f>
        <v>0</v>
      </c>
      <c r="X112" s="2239">
        <f>'[1]затраты вспом.'!X112+'[2]затраты вспом.'!X112</f>
        <v>0</v>
      </c>
      <c r="Y112" s="981">
        <f t="shared" si="159"/>
        <v>0</v>
      </c>
      <c r="Z112" s="2239">
        <f>'[1]затраты вспом.'!Z112+'[2]затраты вспом.'!Z112</f>
        <v>0</v>
      </c>
      <c r="AA112" s="2239">
        <f>'[1]затраты вспом.'!AA112+'[2]затраты вспом.'!AA112</f>
        <v>0</v>
      </c>
      <c r="AB112" s="2239">
        <f>'[1]затраты вспом.'!AB112+'[2]затраты вспом.'!AB112</f>
        <v>0</v>
      </c>
      <c r="AC112" s="981">
        <f t="shared" si="160"/>
        <v>2443.5974195360891</v>
      </c>
      <c r="AD112" s="983"/>
      <c r="AE112" s="1073"/>
      <c r="AF112" s="1214"/>
      <c r="AG112" s="991">
        <f t="shared" si="161"/>
        <v>0</v>
      </c>
      <c r="AH112" s="992"/>
      <c r="AI112" s="993"/>
      <c r="AJ112" s="994"/>
      <c r="AK112" s="1077"/>
      <c r="AL112" s="981"/>
      <c r="AM112" s="1077"/>
      <c r="AN112" s="1039">
        <f t="shared" si="162"/>
        <v>2443.5974195360891</v>
      </c>
    </row>
    <row r="113" spans="1:40" s="1037" customFormat="1" ht="11.25" customHeight="1" thickBot="1">
      <c r="A113" s="1090" t="s">
        <v>401</v>
      </c>
      <c r="B113" s="2192">
        <f>'[1]затраты вспом.'!B113+'[2]затраты вспом.'!B113</f>
        <v>34.875121005185726</v>
      </c>
      <c r="C113" s="2192"/>
      <c r="D113" s="2192"/>
      <c r="E113" s="2192"/>
      <c r="F113" s="2192"/>
      <c r="G113" s="2192"/>
      <c r="H113" s="2192">
        <f t="shared" si="155"/>
        <v>0</v>
      </c>
      <c r="I113" s="2192">
        <f>'[1]затраты вспом.'!I113+'[2]затраты вспом.'!I113</f>
        <v>350.64752464208158</v>
      </c>
      <c r="J113" s="2192">
        <f>'[1]затраты вспом.'!J113+'[2]затраты вспом.'!J113</f>
        <v>1532.1628279089875</v>
      </c>
      <c r="K113" s="2192">
        <f>'[1]затраты вспом.'!K113+'[2]затраты вспом.'!K113</f>
        <v>2282.7510894666666</v>
      </c>
      <c r="L113" s="2192">
        <f>'[1]затраты вспом.'!L113+'[2]затраты вспом.'!L113</f>
        <v>126.09541295786664</v>
      </c>
      <c r="M113" s="2240">
        <f t="shared" si="156"/>
        <v>3941.0093303335207</v>
      </c>
      <c r="N113" s="2192">
        <f>'[1]затраты вспом.'!N113+'[2]затраты вспом.'!N113</f>
        <v>4782.9790899964391</v>
      </c>
      <c r="O113" s="2192">
        <f>'[1]затраты вспом.'!O113+'[2]затраты вспом.'!O113</f>
        <v>0</v>
      </c>
      <c r="P113" s="2192">
        <f>'[1]затраты вспом.'!P113+'[2]затраты вспом.'!P113</f>
        <v>0</v>
      </c>
      <c r="Q113" s="2192">
        <f t="shared" si="157"/>
        <v>4782.9790899964391</v>
      </c>
      <c r="R113" s="2192">
        <f>'[1]затраты вспом.'!R113+'[2]затраты вспом.'!R113</f>
        <v>55.093100183134865</v>
      </c>
      <c r="S113" s="2192">
        <f>'[1]затраты вспом.'!S113+'[2]затраты вспом.'!S113</f>
        <v>0</v>
      </c>
      <c r="T113" s="2192">
        <f>'[1]затраты вспом.'!T113+'[2]затраты вспом.'!T113</f>
        <v>0</v>
      </c>
      <c r="U113" s="1063">
        <f t="shared" si="158"/>
        <v>55.093100183134865</v>
      </c>
      <c r="V113" s="2192">
        <f>'[1]затраты вспом.'!V113+'[2]затраты вспом.'!V113</f>
        <v>561.16277916469892</v>
      </c>
      <c r="W113" s="2192">
        <f>'[1]затраты вспом.'!W113+'[2]затраты вспом.'!W113</f>
        <v>0</v>
      </c>
      <c r="X113" s="2192">
        <f>'[1]затраты вспом.'!X113+'[2]затраты вспом.'!X113</f>
        <v>0</v>
      </c>
      <c r="Y113" s="1063">
        <f t="shared" si="159"/>
        <v>561.16277916469892</v>
      </c>
      <c r="Z113" s="2192">
        <f>'[1]затраты вспом.'!Z113+'[2]затраты вспом.'!Z113</f>
        <v>42.243712640991689</v>
      </c>
      <c r="AA113" s="2192">
        <f>'[1]затраты вспом.'!AA113+'[2]затраты вспом.'!AA113</f>
        <v>0</v>
      </c>
      <c r="AB113" s="2192">
        <f>'[1]затраты вспом.'!AB113+'[2]затраты вспом.'!AB113</f>
        <v>0</v>
      </c>
      <c r="AC113" s="1063">
        <f t="shared" si="160"/>
        <v>9768.0106579660514</v>
      </c>
      <c r="AD113" s="1064"/>
      <c r="AE113" s="1082"/>
      <c r="AF113" s="1201"/>
      <c r="AG113" s="1063">
        <f t="shared" si="161"/>
        <v>0</v>
      </c>
      <c r="AH113" s="992"/>
      <c r="AI113" s="993"/>
      <c r="AJ113" s="994"/>
      <c r="AK113" s="1067"/>
      <c r="AL113" s="2192">
        <f>'[1]затраты вспом.'!AL113+'[2]затраты вспом.'!AL113</f>
        <v>2829.7</v>
      </c>
      <c r="AM113" s="1067"/>
      <c r="AN113" s="1063">
        <f t="shared" si="162"/>
        <v>12597.71065796605</v>
      </c>
    </row>
    <row r="114" spans="1:40" s="1037" customFormat="1" ht="11.25" customHeight="1" thickBot="1">
      <c r="A114" s="1090" t="s">
        <v>402</v>
      </c>
      <c r="B114" s="2192">
        <f>'[1]затраты вспом.'!B114</f>
        <v>0</v>
      </c>
      <c r="C114" s="2192"/>
      <c r="D114" s="2192"/>
      <c r="E114" s="2192"/>
      <c r="F114" s="2192"/>
      <c r="G114" s="2192"/>
      <c r="H114" s="2192">
        <f t="shared" si="155"/>
        <v>0</v>
      </c>
      <c r="I114" s="2192">
        <f>'[1]затраты вспом.'!I114</f>
        <v>0</v>
      </c>
      <c r="J114" s="2192">
        <f>'[1]затраты вспом.'!J114</f>
        <v>25.688441877436645</v>
      </c>
      <c r="K114" s="2192">
        <f>'[1]затраты вспом.'!K114</f>
        <v>0</v>
      </c>
      <c r="L114" s="2192">
        <f>'[1]затраты вспом.'!L114</f>
        <v>0</v>
      </c>
      <c r="M114" s="2240">
        <f t="shared" ref="M114:M115" si="163">SUM(J114:L114)</f>
        <v>25.688441877436645</v>
      </c>
      <c r="N114" s="2192">
        <f>'[1]затраты вспом.'!N114</f>
        <v>279.33528999979967</v>
      </c>
      <c r="O114" s="2192">
        <f>'[1]затраты вспом.'!O114</f>
        <v>0</v>
      </c>
      <c r="P114" s="2192">
        <f>'[1]затраты вспом.'!P114</f>
        <v>0</v>
      </c>
      <c r="Q114" s="2192">
        <f t="shared" si="157"/>
        <v>279.33528999979967</v>
      </c>
      <c r="R114" s="2192">
        <f>'[1]затраты вспом.'!R114</f>
        <v>28.871713351628006</v>
      </c>
      <c r="S114" s="2192">
        <f>'[1]затраты вспом.'!S114</f>
        <v>0</v>
      </c>
      <c r="T114" s="2192">
        <f>'[1]затраты вспом.'!T114</f>
        <v>0</v>
      </c>
      <c r="U114" s="1063">
        <f t="shared" si="158"/>
        <v>28.871713351628006</v>
      </c>
      <c r="V114" s="2192">
        <f>'[1]затраты вспом.'!V114+'[2]затраты вспом.'!V114</f>
        <v>276.03502949694428</v>
      </c>
      <c r="W114" s="2192">
        <f>'[1]затраты вспом.'!W114+'[2]затраты вспом.'!W114</f>
        <v>0</v>
      </c>
      <c r="X114" s="2192">
        <f>'[1]затраты вспом.'!X114+'[2]затраты вспом.'!X114</f>
        <v>0</v>
      </c>
      <c r="Y114" s="1063">
        <f t="shared" si="159"/>
        <v>276.03502949694428</v>
      </c>
      <c r="Z114" s="2192">
        <f>'[1]затраты вспом.'!Z114+'[2]затраты вспом.'!Z114</f>
        <v>25.536601007994548</v>
      </c>
      <c r="AA114" s="2192">
        <f>'[1]затраты вспом.'!AA114+'[2]затраты вспом.'!AA114</f>
        <v>4.598381406237408</v>
      </c>
      <c r="AB114" s="2192">
        <f>'[1]затраты вспом.'!AB114+'[2]затраты вспом.'!AB114</f>
        <v>0</v>
      </c>
      <c r="AC114" s="1063">
        <f t="shared" ref="AC114:AC115" si="164">B114+H114+I114+M114+Q114+U114+Y114+Z114+AA114+AB114</f>
        <v>640.06545714004062</v>
      </c>
      <c r="AD114" s="1064"/>
      <c r="AE114" s="1082"/>
      <c r="AF114" s="1201"/>
      <c r="AG114" s="1063">
        <f t="shared" si="161"/>
        <v>0</v>
      </c>
      <c r="AH114" s="992"/>
      <c r="AI114" s="993"/>
      <c r="AJ114" s="994"/>
      <c r="AK114" s="1067"/>
      <c r="AL114" s="1063">
        <f>'[1]затраты вспом.'!AL110</f>
        <v>0</v>
      </c>
      <c r="AM114" s="1067"/>
      <c r="AN114" s="1063">
        <f t="shared" si="162"/>
        <v>640.06545714004062</v>
      </c>
    </row>
    <row r="115" spans="1:40" s="1037" customFormat="1" ht="11.25" customHeight="1" thickBot="1">
      <c r="A115" s="1090" t="s">
        <v>403</v>
      </c>
      <c r="B115" s="2192">
        <f>'[1]затраты вспом.'!B115+'[2]затраты вспом.'!B115</f>
        <v>633.9066112119051</v>
      </c>
      <c r="C115" s="2192"/>
      <c r="D115" s="2192"/>
      <c r="E115" s="2192"/>
      <c r="F115" s="2192"/>
      <c r="G115" s="2192"/>
      <c r="H115" s="2192">
        <f t="shared" si="155"/>
        <v>0</v>
      </c>
      <c r="I115" s="2192">
        <f>'[1]затраты вспом.'!I115+'[2]затраты вспом.'!I115</f>
        <v>581.18374250068757</v>
      </c>
      <c r="J115" s="2192">
        <f>'[1]затраты вспом.'!J115+'[2]затраты вспом.'!J115</f>
        <v>3286.5477453620269</v>
      </c>
      <c r="K115" s="2192">
        <f>'[1]затраты вспом.'!K115+'[2]затраты вспом.'!K115</f>
        <v>0</v>
      </c>
      <c r="L115" s="2192">
        <f>'[1]затраты вспом.'!L115+'[2]затраты вспом.'!L115</f>
        <v>8.5190924054400003</v>
      </c>
      <c r="M115" s="2240">
        <f t="shared" si="163"/>
        <v>3295.066837767467</v>
      </c>
      <c r="N115" s="2192">
        <f>'[1]затраты вспом.'!N115+'[2]затраты вспом.'!N115</f>
        <v>385.13458999971101</v>
      </c>
      <c r="O115" s="2192">
        <f>'[1]затраты вспом.'!O115+'[2]затраты вспом.'!O115</f>
        <v>0</v>
      </c>
      <c r="P115" s="2192">
        <f>'[1]затраты вспом.'!P115+'[2]затраты вспом.'!P115</f>
        <v>0</v>
      </c>
      <c r="Q115" s="2192">
        <f t="shared" si="157"/>
        <v>385.13458999971101</v>
      </c>
      <c r="R115" s="2192">
        <f>'[1]затраты вспом.'!R115+'[2]затраты вспом.'!R115</f>
        <v>7.6046062157688343</v>
      </c>
      <c r="S115" s="2192">
        <f>'[1]затраты вспом.'!S115+'[2]затраты вспом.'!S115</f>
        <v>0</v>
      </c>
      <c r="T115" s="2192">
        <f>'[1]затраты вспом.'!T115+'[2]затраты вспом.'!T115</f>
        <v>0</v>
      </c>
      <c r="U115" s="1063">
        <f t="shared" si="158"/>
        <v>7.6046062157688343</v>
      </c>
      <c r="V115" s="2192">
        <f>'[1]затраты вспом.'!V115+'[2]затраты вспом.'!V115</f>
        <v>234.24768202795701</v>
      </c>
      <c r="W115" s="2192">
        <f>'[1]затраты вспом.'!W115+'[2]затраты вспом.'!W115</f>
        <v>0</v>
      </c>
      <c r="X115" s="2192">
        <f>'[1]затраты вспом.'!X115+'[2]затраты вспом.'!X115</f>
        <v>0</v>
      </c>
      <c r="Y115" s="1063">
        <f t="shared" si="159"/>
        <v>234.24768202795701</v>
      </c>
      <c r="Z115" s="2192">
        <f>'[1]затраты вспом.'!Z115+'[2]затраты вспом.'!Z115</f>
        <v>5.8043410153321622</v>
      </c>
      <c r="AA115" s="2192">
        <f>'[1]затраты вспом.'!AA115+'[2]затраты вспом.'!AA115</f>
        <v>0</v>
      </c>
      <c r="AB115" s="2192">
        <f>'[1]затраты вспом.'!AB115+'[2]затраты вспом.'!AB115</f>
        <v>0</v>
      </c>
      <c r="AC115" s="1063">
        <f t="shared" si="164"/>
        <v>5142.9484107388289</v>
      </c>
      <c r="AD115" s="1064"/>
      <c r="AE115" s="1082"/>
      <c r="AF115" s="1201"/>
      <c r="AG115" s="1063">
        <f t="shared" si="161"/>
        <v>0</v>
      </c>
      <c r="AH115" s="992"/>
      <c r="AI115" s="993"/>
      <c r="AJ115" s="994"/>
      <c r="AK115" s="1067"/>
      <c r="AL115" s="1063">
        <f>'[1]затраты вспом.'!AL111</f>
        <v>0</v>
      </c>
      <c r="AM115" s="1067"/>
      <c r="AN115" s="1063">
        <f t="shared" si="162"/>
        <v>5142.9484107388289</v>
      </c>
    </row>
    <row r="116" spans="1:40" s="1037" customFormat="1" ht="11.25" customHeight="1" thickBot="1">
      <c r="A116" s="1090" t="s">
        <v>404</v>
      </c>
      <c r="B116" s="1063">
        <f>B54-B58-B82-B90-B109-B113-B114-B115</f>
        <v>392.66374692764452</v>
      </c>
      <c r="C116" s="1063"/>
      <c r="D116" s="1063"/>
      <c r="E116" s="1063"/>
      <c r="F116" s="1063"/>
      <c r="G116" s="1063"/>
      <c r="H116" s="1063">
        <f t="shared" ref="H116" si="165">SUM(C116:G116)</f>
        <v>0</v>
      </c>
      <c r="I116" s="1063">
        <f>I54-I82-I90-I109-I113-I114-I115-I58</f>
        <v>1771.9980809144226</v>
      </c>
      <c r="J116" s="1063">
        <f>J54-J82-J90-J109-J113-J114-J115-J58</f>
        <v>1932.9980263678317</v>
      </c>
      <c r="K116" s="1063"/>
      <c r="L116" s="1063">
        <f>L54-L58-L82-L90-L109-L113-L114-L115</f>
        <v>120.33329213039991</v>
      </c>
      <c r="M116" s="1091">
        <f>SUM(J116:L116)</f>
        <v>2053.3313184982317</v>
      </c>
      <c r="N116" s="1063">
        <f>N54-N82-N90-N109-N113-N114-N115-N58</f>
        <v>1302.2138221834539</v>
      </c>
      <c r="O116" s="1065"/>
      <c r="P116" s="1067"/>
      <c r="Q116" s="1063">
        <f t="shared" ref="Q116" si="166">SUM(N116:P116)</f>
        <v>1302.2138221834539</v>
      </c>
      <c r="R116" s="1063">
        <f>R54-R82-R90-R109-R113-R114-R115-R58</f>
        <v>117.7761630080729</v>
      </c>
      <c r="S116" s="1065"/>
      <c r="T116" s="1067"/>
      <c r="U116" s="1063">
        <f t="shared" ref="U116" si="167">SUM(R116:T116)</f>
        <v>117.7761630080729</v>
      </c>
      <c r="V116" s="1082">
        <f>'[1]затраты вспом.'!V112</f>
        <v>0</v>
      </c>
      <c r="W116" s="1065"/>
      <c r="X116" s="1067"/>
      <c r="Y116" s="1063">
        <f t="shared" ref="Y116" si="168">SUM(V116:X116)</f>
        <v>0</v>
      </c>
      <c r="Z116" s="1082">
        <f>'[1]затраты вспом.'!Z112</f>
        <v>0</v>
      </c>
      <c r="AA116" s="1065">
        <f>'[1]затраты вспом.'!AA112</f>
        <v>0</v>
      </c>
      <c r="AB116" s="1064"/>
      <c r="AC116" s="1063">
        <f t="shared" ref="AC116" si="169">B116+H116+I116+M116+Q116+U116+Y116+Z116+AA116+AB116</f>
        <v>5637.9831315318261</v>
      </c>
      <c r="AD116" s="1064"/>
      <c r="AE116" s="1082"/>
      <c r="AF116" s="1201"/>
      <c r="AG116" s="1063">
        <f t="shared" si="161"/>
        <v>0</v>
      </c>
      <c r="AH116" s="992"/>
      <c r="AI116" s="993"/>
      <c r="AJ116" s="994"/>
      <c r="AK116" s="1067"/>
      <c r="AL116" s="2192">
        <f>'[1]затраты вспом.'!AL116+'[2]затраты вспом.'!AL116</f>
        <v>4667.1500442109718</v>
      </c>
      <c r="AM116" s="1067">
        <f>'[1]затраты вспом.'!AM112</f>
        <v>0</v>
      </c>
      <c r="AN116" s="1063">
        <f t="shared" si="162"/>
        <v>10305.133175742798</v>
      </c>
    </row>
    <row r="117" spans="1:40" s="226" customFormat="1" ht="9.75" customHeight="1">
      <c r="A117" s="232"/>
      <c r="B117" s="272"/>
      <c r="C117" s="272"/>
      <c r="D117" s="272"/>
      <c r="E117" s="272"/>
      <c r="F117" s="272"/>
      <c r="G117" s="272"/>
      <c r="H117" s="400"/>
      <c r="I117" s="272"/>
      <c r="J117" s="272"/>
      <c r="K117" s="272"/>
      <c r="L117" s="272"/>
      <c r="M117" s="272"/>
      <c r="N117" s="272"/>
      <c r="O117" s="272"/>
      <c r="P117" s="272"/>
      <c r="Q117" s="272"/>
      <c r="R117" s="272"/>
      <c r="S117" s="272"/>
      <c r="T117" s="272"/>
      <c r="U117" s="272"/>
      <c r="V117" s="272"/>
      <c r="W117" s="272"/>
      <c r="X117" s="272"/>
      <c r="Y117" s="272"/>
      <c r="Z117" s="272"/>
      <c r="AA117" s="272"/>
      <c r="AB117" s="272"/>
      <c r="AC117" s="272"/>
      <c r="AD117" s="272"/>
      <c r="AE117" s="272"/>
      <c r="AF117" s="272"/>
      <c r="AG117" s="272"/>
      <c r="AH117" s="272"/>
      <c r="AI117" s="272"/>
      <c r="AJ117" s="272"/>
      <c r="AK117" s="272"/>
      <c r="AL117" s="272"/>
      <c r="AM117" s="272"/>
      <c r="AN117" s="272"/>
    </row>
    <row r="118" spans="1:40" s="226" customFormat="1" ht="9.75" customHeight="1">
      <c r="A118" s="232"/>
      <c r="B118" s="272"/>
      <c r="C118" s="272"/>
      <c r="D118" s="272"/>
      <c r="E118" s="272"/>
      <c r="F118" s="272"/>
      <c r="G118" s="272"/>
      <c r="H118" s="400"/>
      <c r="I118" s="272"/>
      <c r="J118" s="272"/>
      <c r="K118" s="272"/>
      <c r="L118" s="272"/>
      <c r="M118" s="272"/>
      <c r="N118" s="272"/>
      <c r="O118" s="272"/>
      <c r="P118" s="272"/>
      <c r="Q118" s="272"/>
      <c r="R118" s="272"/>
      <c r="S118" s="272">
        <f>S55*98.55%</f>
        <v>32393.384999999998</v>
      </c>
      <c r="T118" s="272"/>
      <c r="U118" s="272"/>
      <c r="V118" s="272"/>
      <c r="W118" s="272"/>
      <c r="X118" s="272"/>
      <c r="Y118" s="272"/>
      <c r="Z118" s="411" t="e">
        <f>обор.КРС!#REF!/1000000*13+обор.КРС!#REF!/1000000*24.54+обор.КРС!#REF!/1000000*24.54+обор.КРС!#REF!/1000000*0.7+обор.КРС!#REF!/1000000*5.9+обор.КРС!#REF!/1000000*2.4+обор.КРС!#REF!/1000000*7.7</f>
        <v>#REF!</v>
      </c>
      <c r="AA118" s="272"/>
      <c r="AB118" s="272"/>
      <c r="AC118" s="272"/>
      <c r="AD118" s="272"/>
      <c r="AE118" s="272"/>
      <c r="AF118" s="272"/>
      <c r="AG118" s="272"/>
      <c r="AH118" s="272"/>
      <c r="AI118" s="272"/>
      <c r="AJ118" s="272"/>
      <c r="AK118" s="272"/>
      <c r="AL118" s="272"/>
      <c r="AM118" s="272"/>
      <c r="AN118" s="272"/>
    </row>
    <row r="119" spans="1:40" s="226" customFormat="1" ht="9.75" customHeight="1">
      <c r="A119" s="232"/>
      <c r="B119" s="272"/>
      <c r="C119" s="272"/>
      <c r="D119" s="272"/>
      <c r="E119" s="272"/>
      <c r="F119" s="272"/>
      <c r="G119" s="272"/>
      <c r="H119" s="400"/>
      <c r="I119" s="272"/>
      <c r="J119" s="272"/>
      <c r="K119" s="272"/>
      <c r="L119" s="272"/>
      <c r="M119" s="272"/>
      <c r="N119" s="272"/>
      <c r="O119" s="272"/>
      <c r="P119" s="272"/>
      <c r="Q119" s="272"/>
      <c r="R119" s="272"/>
      <c r="S119" s="272"/>
      <c r="T119" s="272"/>
      <c r="U119" s="272"/>
      <c r="V119" s="272"/>
      <c r="W119" s="272"/>
      <c r="X119" s="272"/>
      <c r="Y119" s="272"/>
      <c r="Z119" s="412" t="e">
        <f>Z68/Z118</f>
        <v>#REF!</v>
      </c>
      <c r="AA119" s="272"/>
      <c r="AB119" s="272"/>
      <c r="AC119" s="272"/>
      <c r="AD119" s="272"/>
      <c r="AE119" s="272"/>
      <c r="AF119" s="272"/>
      <c r="AG119" s="272"/>
      <c r="AH119" s="272"/>
      <c r="AI119" s="272"/>
      <c r="AJ119" s="272"/>
      <c r="AK119" s="272"/>
      <c r="AL119" s="272"/>
      <c r="AM119" s="272"/>
      <c r="AN119" s="272"/>
    </row>
    <row r="120" spans="1:40" s="226" customFormat="1" ht="9.75" customHeight="1">
      <c r="A120" s="232"/>
      <c r="B120" s="272"/>
      <c r="C120" s="272"/>
      <c r="D120" s="272"/>
      <c r="E120" s="272"/>
      <c r="F120" s="272"/>
      <c r="G120" s="272"/>
      <c r="H120" s="400"/>
      <c r="I120" s="272"/>
      <c r="J120" s="272"/>
      <c r="K120" s="272"/>
      <c r="L120" s="272"/>
      <c r="M120" s="272"/>
      <c r="N120" s="272"/>
      <c r="O120" s="272"/>
      <c r="P120" s="272"/>
      <c r="Q120" s="272"/>
      <c r="R120" s="272"/>
      <c r="S120" s="272"/>
      <c r="T120" s="272"/>
      <c r="U120" s="272"/>
      <c r="V120" s="272"/>
      <c r="W120" s="272"/>
      <c r="X120" s="272"/>
      <c r="Y120" s="272"/>
      <c r="Z120" s="410"/>
      <c r="AA120" s="272"/>
      <c r="AB120" s="272"/>
      <c r="AC120" s="272"/>
      <c r="AD120" s="272"/>
      <c r="AE120" s="272"/>
      <c r="AF120" s="272"/>
      <c r="AG120" s="272"/>
      <c r="AH120" s="272"/>
      <c r="AI120" s="272"/>
      <c r="AJ120" s="272"/>
      <c r="AK120" s="272"/>
      <c r="AL120" s="272"/>
      <c r="AM120" s="272"/>
      <c r="AN120" s="272"/>
    </row>
    <row r="121" spans="1:40" s="226" customFormat="1" ht="9.75" customHeight="1">
      <c r="A121" s="232"/>
      <c r="B121" s="272"/>
      <c r="C121" s="272"/>
      <c r="D121" s="272"/>
      <c r="E121" s="272"/>
      <c r="F121" s="272"/>
      <c r="G121" s="272"/>
      <c r="H121" s="400"/>
      <c r="I121" s="272"/>
      <c r="J121" s="272"/>
      <c r="K121" s="272"/>
      <c r="L121" s="272"/>
      <c r="M121" s="272"/>
      <c r="N121" s="272"/>
      <c r="O121" s="272"/>
      <c r="P121" s="272"/>
      <c r="Q121" s="272"/>
      <c r="R121" s="272"/>
      <c r="S121" s="272"/>
      <c r="T121" s="272"/>
      <c r="U121" s="272"/>
      <c r="V121" s="272"/>
      <c r="W121" s="272"/>
      <c r="X121" s="272"/>
      <c r="Y121" s="272"/>
      <c r="Z121" s="410"/>
      <c r="AA121" s="272"/>
      <c r="AB121" s="272"/>
      <c r="AC121" s="272"/>
      <c r="AD121" s="272"/>
      <c r="AE121" s="272"/>
      <c r="AF121" s="272"/>
      <c r="AG121" s="272"/>
      <c r="AH121" s="272"/>
      <c r="AI121" s="272"/>
      <c r="AJ121" s="272"/>
      <c r="AK121" s="272"/>
      <c r="AL121" s="272"/>
      <c r="AM121" s="272"/>
      <c r="AN121" s="272"/>
    </row>
    <row r="122" spans="1:40" s="226" customFormat="1" ht="9.75" customHeight="1">
      <c r="A122" s="232"/>
      <c r="B122" s="272"/>
      <c r="C122" s="272"/>
      <c r="D122" s="272"/>
      <c r="E122" s="272"/>
      <c r="F122" s="272"/>
      <c r="G122" s="272"/>
      <c r="H122" s="400"/>
      <c r="I122" s="272"/>
      <c r="J122" s="272"/>
      <c r="K122" s="272"/>
      <c r="L122" s="272"/>
      <c r="M122" s="272"/>
      <c r="N122" s="272"/>
      <c r="O122" s="272"/>
      <c r="P122" s="272"/>
      <c r="Q122" s="272"/>
      <c r="R122" s="272"/>
      <c r="S122" s="272"/>
      <c r="T122" s="272"/>
      <c r="U122" s="272"/>
      <c r="V122" s="272"/>
      <c r="W122" s="272"/>
      <c r="X122" s="272"/>
      <c r="Y122" s="272"/>
      <c r="Z122" s="410"/>
      <c r="AA122" s="272"/>
      <c r="AB122" s="272"/>
      <c r="AC122" s="272"/>
      <c r="AD122" s="272"/>
      <c r="AE122" s="272"/>
      <c r="AF122" s="272"/>
      <c r="AG122" s="272"/>
      <c r="AH122" s="272"/>
      <c r="AI122" s="272"/>
      <c r="AJ122" s="272"/>
      <c r="AK122" s="272"/>
      <c r="AL122" s="272"/>
      <c r="AM122" s="272"/>
      <c r="AN122" s="272"/>
    </row>
    <row r="123" spans="1:40" s="226" customFormat="1" ht="9.75" customHeight="1">
      <c r="A123" s="232"/>
      <c r="B123" s="272"/>
      <c r="C123" s="272"/>
      <c r="D123" s="272"/>
      <c r="E123" s="272"/>
      <c r="F123" s="272"/>
      <c r="G123" s="272"/>
      <c r="H123" s="400"/>
      <c r="I123" s="272"/>
      <c r="J123" s="272"/>
      <c r="K123" s="272"/>
      <c r="L123" s="272"/>
      <c r="M123" s="272"/>
      <c r="N123" s="272"/>
      <c r="O123" s="272"/>
      <c r="P123" s="272"/>
      <c r="Q123" s="272"/>
      <c r="R123" s="272"/>
      <c r="S123" s="272"/>
      <c r="T123" s="272"/>
      <c r="U123" s="272"/>
      <c r="V123" s="272"/>
      <c r="W123" s="272"/>
      <c r="X123" s="272"/>
      <c r="Y123" s="272"/>
      <c r="Z123" s="410"/>
      <c r="AA123" s="272"/>
      <c r="AB123" s="272"/>
      <c r="AC123" s="272"/>
      <c r="AD123" s="272"/>
      <c r="AE123" s="272"/>
      <c r="AF123" s="272"/>
      <c r="AG123" s="272"/>
      <c r="AH123" s="272"/>
      <c r="AI123" s="272"/>
      <c r="AJ123" s="272"/>
      <c r="AK123" s="272"/>
      <c r="AL123" s="272"/>
      <c r="AM123" s="272"/>
      <c r="AN123" s="272"/>
    </row>
    <row r="124" spans="1:40" s="226" customFormat="1" ht="9.75" customHeight="1">
      <c r="A124" s="232"/>
      <c r="B124" s="272"/>
      <c r="C124" s="272"/>
      <c r="D124" s="272"/>
      <c r="E124" s="272"/>
      <c r="F124" s="272"/>
      <c r="G124" s="272"/>
      <c r="H124" s="400"/>
      <c r="I124" s="272"/>
      <c r="J124" s="272"/>
      <c r="K124" s="272"/>
      <c r="L124" s="272"/>
      <c r="M124" s="272"/>
      <c r="N124" s="272"/>
      <c r="O124" s="272"/>
      <c r="P124" s="272"/>
      <c r="Q124" s="272"/>
      <c r="R124" s="272"/>
      <c r="S124" s="272"/>
      <c r="T124" s="272"/>
      <c r="U124" s="272"/>
      <c r="V124" s="272"/>
      <c r="W124" s="272"/>
      <c r="X124" s="272"/>
      <c r="Y124" s="272"/>
      <c r="Z124" s="272"/>
      <c r="AA124" s="272"/>
      <c r="AB124" s="272"/>
      <c r="AC124" s="272"/>
      <c r="AD124" s="272"/>
      <c r="AE124" s="272"/>
      <c r="AF124" s="272"/>
      <c r="AG124" s="272"/>
      <c r="AH124" s="272"/>
      <c r="AI124" s="272"/>
      <c r="AJ124" s="272"/>
      <c r="AK124" s="272"/>
      <c r="AL124" s="272"/>
      <c r="AM124" s="272"/>
      <c r="AN124" s="272"/>
    </row>
    <row r="125" spans="1:40" s="226" customFormat="1" ht="9.75" customHeight="1">
      <c r="A125" s="232"/>
      <c r="B125" s="272"/>
      <c r="C125" s="272"/>
      <c r="D125" s="272"/>
      <c r="E125" s="272"/>
      <c r="F125" s="272"/>
      <c r="G125" s="272"/>
      <c r="H125" s="400"/>
      <c r="I125" s="272"/>
      <c r="J125" s="272"/>
      <c r="K125" s="272"/>
      <c r="L125" s="272"/>
      <c r="M125" s="272"/>
      <c r="N125" s="272"/>
      <c r="O125" s="272"/>
      <c r="P125" s="272"/>
      <c r="Q125" s="272"/>
      <c r="R125" s="272"/>
      <c r="S125" s="272"/>
      <c r="T125" s="272"/>
      <c r="U125" s="272"/>
      <c r="V125" s="272"/>
      <c r="W125" s="272"/>
      <c r="X125" s="272"/>
      <c r="Y125" s="272"/>
      <c r="Z125" s="272"/>
      <c r="AA125" s="272"/>
      <c r="AB125" s="272"/>
      <c r="AC125" s="272"/>
      <c r="AD125" s="272"/>
      <c r="AE125" s="272"/>
      <c r="AF125" s="272"/>
      <c r="AG125" s="272"/>
      <c r="AH125" s="272"/>
      <c r="AI125" s="272"/>
      <c r="AJ125" s="272"/>
      <c r="AK125" s="272"/>
      <c r="AL125" s="272"/>
      <c r="AM125" s="272"/>
      <c r="AN125" s="272"/>
    </row>
    <row r="126" spans="1:40" s="226" customFormat="1" ht="9.75" customHeight="1">
      <c r="A126" s="232"/>
      <c r="B126" s="272"/>
      <c r="C126" s="272"/>
      <c r="D126" s="272"/>
      <c r="E126" s="272"/>
      <c r="F126" s="272"/>
      <c r="G126" s="272"/>
      <c r="H126" s="400"/>
      <c r="I126" s="272"/>
      <c r="J126" s="272"/>
      <c r="K126" s="272"/>
      <c r="L126" s="272"/>
      <c r="M126" s="272"/>
      <c r="N126" s="272"/>
      <c r="O126" s="272"/>
      <c r="P126" s="272"/>
      <c r="Q126" s="272"/>
      <c r="R126" s="272"/>
      <c r="S126" s="272"/>
      <c r="T126" s="272"/>
      <c r="U126" s="272"/>
      <c r="V126" s="272"/>
      <c r="W126" s="272"/>
      <c r="X126" s="272"/>
      <c r="Y126" s="272"/>
      <c r="Z126" s="272"/>
      <c r="AA126" s="272"/>
      <c r="AB126" s="272"/>
      <c r="AC126" s="272"/>
      <c r="AD126" s="272"/>
      <c r="AE126" s="272"/>
      <c r="AF126" s="272"/>
      <c r="AG126" s="272"/>
      <c r="AH126" s="272"/>
      <c r="AI126" s="272"/>
      <c r="AJ126" s="272"/>
      <c r="AK126" s="272"/>
      <c r="AL126" s="272"/>
      <c r="AM126" s="272"/>
      <c r="AN126" s="272"/>
    </row>
    <row r="127" spans="1:40" s="226" customFormat="1" ht="9.75" customHeight="1">
      <c r="A127" s="232"/>
      <c r="B127" s="272"/>
      <c r="C127" s="272"/>
      <c r="D127" s="272"/>
      <c r="E127" s="272"/>
      <c r="F127" s="272"/>
      <c r="G127" s="272"/>
      <c r="H127" s="400"/>
      <c r="I127" s="272"/>
      <c r="J127" s="272"/>
      <c r="K127" s="272"/>
      <c r="L127" s="272"/>
      <c r="M127" s="272"/>
      <c r="N127" s="272"/>
      <c r="O127" s="272"/>
      <c r="P127" s="272"/>
      <c r="Q127" s="272"/>
      <c r="R127" s="272"/>
      <c r="S127" s="272"/>
      <c r="T127" s="272"/>
      <c r="U127" s="272"/>
      <c r="V127" s="272"/>
      <c r="W127" s="272"/>
      <c r="X127" s="272"/>
      <c r="Y127" s="272"/>
      <c r="Z127" s="272"/>
      <c r="AA127" s="272"/>
      <c r="AB127" s="272"/>
      <c r="AC127" s="272"/>
      <c r="AD127" s="272"/>
      <c r="AE127" s="272"/>
      <c r="AF127" s="272"/>
      <c r="AG127" s="272"/>
      <c r="AH127" s="272"/>
      <c r="AI127" s="272"/>
      <c r="AJ127" s="272"/>
      <c r="AK127" s="272"/>
      <c r="AL127" s="272"/>
      <c r="AM127" s="272"/>
      <c r="AN127" s="272"/>
    </row>
    <row r="128" spans="1:40" s="226" customFormat="1" ht="9.75" customHeight="1">
      <c r="A128" s="232"/>
      <c r="B128" s="272"/>
      <c r="C128" s="272"/>
      <c r="D128" s="272"/>
      <c r="E128" s="272"/>
      <c r="F128" s="272"/>
      <c r="G128" s="272"/>
      <c r="H128" s="400"/>
      <c r="I128" s="272"/>
      <c r="J128" s="272"/>
      <c r="K128" s="272"/>
      <c r="L128" s="272"/>
      <c r="M128" s="272"/>
      <c r="N128" s="272"/>
      <c r="O128" s="272"/>
      <c r="P128" s="272"/>
      <c r="Q128" s="272"/>
      <c r="R128" s="272"/>
      <c r="S128" s="272"/>
      <c r="T128" s="272"/>
      <c r="U128" s="272"/>
      <c r="V128" s="272"/>
      <c r="W128" s="272"/>
      <c r="X128" s="272"/>
      <c r="Y128" s="272"/>
      <c r="Z128" s="272"/>
      <c r="AA128" s="272"/>
      <c r="AB128" s="272"/>
      <c r="AC128" s="272"/>
      <c r="AD128" s="272"/>
      <c r="AE128" s="272"/>
      <c r="AF128" s="272"/>
      <c r="AG128" s="272"/>
      <c r="AH128" s="272"/>
      <c r="AI128" s="272"/>
      <c r="AJ128" s="272"/>
      <c r="AK128" s="272"/>
      <c r="AL128" s="272"/>
      <c r="AM128" s="272"/>
      <c r="AN128" s="272"/>
    </row>
    <row r="129" spans="1:40" s="226" customFormat="1" ht="9.75" customHeight="1">
      <c r="A129" s="232"/>
      <c r="B129" s="272"/>
      <c r="C129" s="272"/>
      <c r="D129" s="272"/>
      <c r="E129" s="272"/>
      <c r="F129" s="272"/>
      <c r="G129" s="272"/>
      <c r="H129" s="400"/>
      <c r="I129" s="272"/>
      <c r="J129" s="272"/>
      <c r="K129" s="272"/>
      <c r="L129" s="272"/>
      <c r="M129" s="272"/>
      <c r="N129" s="272"/>
      <c r="O129" s="272"/>
      <c r="P129" s="272"/>
      <c r="Q129" s="272"/>
      <c r="R129" s="272"/>
      <c r="S129" s="272"/>
      <c r="T129" s="272"/>
      <c r="U129" s="272"/>
      <c r="V129" s="272"/>
      <c r="W129" s="272"/>
      <c r="X129" s="272"/>
      <c r="Y129" s="272"/>
      <c r="Z129" s="272"/>
      <c r="AA129" s="272"/>
      <c r="AB129" s="272"/>
      <c r="AC129" s="272"/>
      <c r="AD129" s="272"/>
      <c r="AE129" s="272"/>
      <c r="AF129" s="272"/>
      <c r="AG129" s="272"/>
      <c r="AH129" s="272"/>
      <c r="AI129" s="272"/>
      <c r="AJ129" s="272"/>
      <c r="AK129" s="272"/>
      <c r="AL129" s="272"/>
      <c r="AM129" s="272"/>
      <c r="AN129" s="272"/>
    </row>
    <row r="130" spans="1:40" s="226" customFormat="1" ht="9.75" customHeight="1">
      <c r="A130" s="232"/>
      <c r="B130" s="272"/>
      <c r="C130" s="272"/>
      <c r="D130" s="272"/>
      <c r="E130" s="272"/>
      <c r="F130" s="272"/>
      <c r="G130" s="272"/>
      <c r="H130" s="400"/>
      <c r="I130" s="272"/>
      <c r="J130" s="272"/>
      <c r="K130" s="272"/>
      <c r="L130" s="272"/>
      <c r="M130" s="272"/>
      <c r="N130" s="272"/>
      <c r="O130" s="272"/>
      <c r="P130" s="272"/>
      <c r="Q130" s="272"/>
      <c r="R130" s="272"/>
      <c r="S130" s="272"/>
      <c r="T130" s="272"/>
      <c r="U130" s="272"/>
      <c r="V130" s="272"/>
      <c r="W130" s="272"/>
      <c r="X130" s="272"/>
      <c r="Y130" s="272"/>
      <c r="Z130" s="272"/>
      <c r="AA130" s="272"/>
      <c r="AB130" s="272"/>
      <c r="AC130" s="272"/>
      <c r="AD130" s="272"/>
      <c r="AE130" s="272"/>
      <c r="AF130" s="272"/>
      <c r="AG130" s="272"/>
      <c r="AH130" s="272"/>
      <c r="AI130" s="272"/>
      <c r="AJ130" s="272"/>
      <c r="AK130" s="272"/>
      <c r="AL130" s="272"/>
      <c r="AM130" s="272"/>
      <c r="AN130" s="272"/>
    </row>
    <row r="131" spans="1:40" s="226" customFormat="1" ht="9.75" customHeight="1">
      <c r="A131" s="232"/>
      <c r="B131" s="272"/>
      <c r="C131" s="272"/>
      <c r="D131" s="272"/>
      <c r="E131" s="272"/>
      <c r="F131" s="272"/>
      <c r="G131" s="272"/>
      <c r="H131" s="400"/>
      <c r="I131" s="272"/>
      <c r="J131" s="272"/>
      <c r="K131" s="272"/>
      <c r="L131" s="272"/>
      <c r="M131" s="272"/>
      <c r="N131" s="272"/>
      <c r="O131" s="272"/>
      <c r="P131" s="272"/>
      <c r="Q131" s="272"/>
      <c r="R131" s="272"/>
      <c r="S131" s="272"/>
      <c r="T131" s="272"/>
      <c r="U131" s="272"/>
      <c r="V131" s="272"/>
      <c r="W131" s="272"/>
      <c r="X131" s="272"/>
      <c r="Y131" s="272"/>
      <c r="Z131" s="272"/>
      <c r="AA131" s="272"/>
      <c r="AB131" s="272"/>
      <c r="AC131" s="272"/>
      <c r="AD131" s="272"/>
      <c r="AE131" s="272"/>
      <c r="AF131" s="272"/>
      <c r="AG131" s="272"/>
      <c r="AH131" s="272"/>
      <c r="AI131" s="272"/>
      <c r="AJ131" s="272"/>
      <c r="AK131" s="272"/>
      <c r="AL131" s="272"/>
      <c r="AM131" s="272"/>
      <c r="AN131" s="272"/>
    </row>
    <row r="132" spans="1:40" s="226" customFormat="1" ht="9.75" customHeight="1">
      <c r="A132" s="232"/>
      <c r="B132" s="272"/>
      <c r="C132" s="272"/>
      <c r="D132" s="272"/>
      <c r="E132" s="272"/>
      <c r="F132" s="272"/>
      <c r="G132" s="272"/>
      <c r="H132" s="400"/>
      <c r="I132" s="272"/>
      <c r="J132" s="272"/>
      <c r="K132" s="272"/>
      <c r="L132" s="272"/>
      <c r="M132" s="272"/>
      <c r="N132" s="272"/>
      <c r="O132" s="272"/>
      <c r="P132" s="272"/>
      <c r="Q132" s="272"/>
      <c r="R132" s="272"/>
      <c r="S132" s="272"/>
      <c r="T132" s="272"/>
      <c r="U132" s="272"/>
      <c r="V132" s="272"/>
      <c r="W132" s="272"/>
      <c r="X132" s="272"/>
      <c r="Y132" s="272"/>
      <c r="Z132" s="272"/>
      <c r="AA132" s="272"/>
      <c r="AB132" s="272"/>
      <c r="AC132" s="272"/>
      <c r="AD132" s="272"/>
      <c r="AE132" s="272"/>
      <c r="AF132" s="272"/>
      <c r="AG132" s="272"/>
      <c r="AH132" s="272"/>
      <c r="AI132" s="272"/>
      <c r="AJ132" s="272"/>
      <c r="AK132" s="272"/>
      <c r="AL132" s="272"/>
      <c r="AM132" s="272"/>
      <c r="AN132" s="272"/>
    </row>
    <row r="133" spans="1:40" s="226" customFormat="1" ht="9.75" customHeight="1">
      <c r="A133" s="232"/>
      <c r="B133" s="272"/>
      <c r="C133" s="272"/>
      <c r="D133" s="272"/>
      <c r="E133" s="272"/>
      <c r="F133" s="272"/>
      <c r="G133" s="272"/>
      <c r="H133" s="400"/>
      <c r="I133" s="272"/>
      <c r="J133" s="272"/>
      <c r="K133" s="272"/>
      <c r="L133" s="272"/>
      <c r="M133" s="272"/>
      <c r="N133" s="272"/>
      <c r="O133" s="272"/>
      <c r="P133" s="272"/>
      <c r="Q133" s="272"/>
      <c r="R133" s="272"/>
      <c r="S133" s="272"/>
      <c r="T133" s="272"/>
      <c r="U133" s="272"/>
      <c r="V133" s="272"/>
      <c r="W133" s="272"/>
      <c r="X133" s="272"/>
      <c r="Y133" s="272"/>
      <c r="Z133" s="272"/>
      <c r="AA133" s="272"/>
      <c r="AB133" s="272"/>
      <c r="AC133" s="272"/>
      <c r="AD133" s="272"/>
      <c r="AE133" s="272"/>
      <c r="AF133" s="272"/>
      <c r="AG133" s="272"/>
      <c r="AH133" s="272"/>
      <c r="AI133" s="272"/>
      <c r="AJ133" s="272"/>
      <c r="AK133" s="272"/>
      <c r="AL133" s="272"/>
      <c r="AM133" s="272"/>
      <c r="AN133" s="272"/>
    </row>
    <row r="134" spans="1:40" s="226" customFormat="1" ht="9.75" customHeight="1">
      <c r="A134" s="232"/>
      <c r="B134" s="272"/>
      <c r="C134" s="272"/>
      <c r="D134" s="272"/>
      <c r="E134" s="272"/>
      <c r="F134" s="272"/>
      <c r="G134" s="272"/>
      <c r="H134" s="400"/>
      <c r="I134" s="272"/>
      <c r="J134" s="272"/>
      <c r="K134" s="272"/>
      <c r="L134" s="272"/>
      <c r="M134" s="272"/>
      <c r="N134" s="272"/>
      <c r="O134" s="272"/>
      <c r="P134" s="272"/>
      <c r="Q134" s="272"/>
      <c r="R134" s="272"/>
      <c r="S134" s="272"/>
      <c r="T134" s="272"/>
      <c r="U134" s="272"/>
      <c r="V134" s="272"/>
      <c r="W134" s="272"/>
      <c r="X134" s="272"/>
      <c r="Y134" s="272"/>
      <c r="Z134" s="272"/>
      <c r="AA134" s="272"/>
      <c r="AB134" s="272"/>
      <c r="AC134" s="272"/>
      <c r="AD134" s="272"/>
      <c r="AE134" s="272"/>
      <c r="AF134" s="272"/>
      <c r="AG134" s="272"/>
      <c r="AH134" s="272"/>
      <c r="AI134" s="272"/>
      <c r="AJ134" s="272"/>
      <c r="AK134" s="272"/>
      <c r="AL134" s="272"/>
      <c r="AM134" s="272"/>
      <c r="AN134" s="272"/>
    </row>
    <row r="135" spans="1:40" s="226" customFormat="1" ht="9.75" customHeight="1">
      <c r="A135" s="232"/>
      <c r="B135" s="272"/>
      <c r="C135" s="272"/>
      <c r="D135" s="272"/>
      <c r="E135" s="272"/>
      <c r="F135" s="272"/>
      <c r="G135" s="272"/>
      <c r="H135" s="400"/>
      <c r="I135" s="272"/>
      <c r="J135" s="272"/>
      <c r="K135" s="272"/>
      <c r="L135" s="272"/>
      <c r="M135" s="272"/>
      <c r="N135" s="272"/>
      <c r="O135" s="272"/>
      <c r="P135" s="272"/>
      <c r="Q135" s="272"/>
      <c r="R135" s="272"/>
      <c r="S135" s="272"/>
      <c r="T135" s="272"/>
      <c r="U135" s="272"/>
      <c r="V135" s="272"/>
      <c r="W135" s="272"/>
      <c r="X135" s="272"/>
      <c r="Y135" s="272"/>
      <c r="Z135" s="272"/>
      <c r="AA135" s="272"/>
      <c r="AB135" s="272"/>
      <c r="AC135" s="272"/>
      <c r="AD135" s="272"/>
      <c r="AE135" s="272"/>
      <c r="AF135" s="272"/>
      <c r="AG135" s="272"/>
      <c r="AH135" s="272"/>
      <c r="AI135" s="272"/>
      <c r="AJ135" s="272"/>
      <c r="AK135" s="272"/>
      <c r="AL135" s="272"/>
      <c r="AM135" s="272"/>
      <c r="AN135" s="272"/>
    </row>
    <row r="136" spans="1:40" s="226" customFormat="1" ht="9.75" customHeight="1">
      <c r="A136" s="232"/>
      <c r="B136" s="272"/>
      <c r="C136" s="272"/>
      <c r="D136" s="272"/>
      <c r="E136" s="272"/>
      <c r="F136" s="272"/>
      <c r="G136" s="272"/>
      <c r="H136" s="400"/>
      <c r="I136" s="272"/>
      <c r="J136" s="272"/>
      <c r="K136" s="272"/>
      <c r="L136" s="272"/>
      <c r="M136" s="272"/>
      <c r="N136" s="272"/>
      <c r="O136" s="272"/>
      <c r="P136" s="272"/>
      <c r="Q136" s="272"/>
      <c r="R136" s="272"/>
      <c r="S136" s="272"/>
      <c r="T136" s="272"/>
      <c r="U136" s="272"/>
      <c r="V136" s="272"/>
      <c r="W136" s="272"/>
      <c r="X136" s="272"/>
      <c r="Y136" s="272"/>
      <c r="Z136" s="272"/>
      <c r="AA136" s="272"/>
      <c r="AB136" s="272"/>
      <c r="AC136" s="272"/>
      <c r="AD136" s="272"/>
      <c r="AE136" s="272"/>
      <c r="AF136" s="272"/>
      <c r="AG136" s="272"/>
      <c r="AH136" s="272"/>
      <c r="AI136" s="272"/>
      <c r="AJ136" s="272"/>
      <c r="AK136" s="272"/>
      <c r="AL136" s="272"/>
      <c r="AM136" s="272"/>
      <c r="AN136" s="272"/>
    </row>
    <row r="137" spans="1:40" s="226" customFormat="1" ht="9.75" customHeight="1">
      <c r="A137" s="232"/>
      <c r="B137" s="272"/>
      <c r="C137" s="272"/>
      <c r="D137" s="272"/>
      <c r="E137" s="272"/>
      <c r="F137" s="272"/>
      <c r="G137" s="272"/>
      <c r="H137" s="400"/>
      <c r="I137" s="272"/>
      <c r="J137" s="272"/>
      <c r="K137" s="272"/>
      <c r="L137" s="272"/>
      <c r="M137" s="272"/>
      <c r="N137" s="272"/>
      <c r="O137" s="272"/>
      <c r="P137" s="272"/>
      <c r="Q137" s="272"/>
      <c r="R137" s="272"/>
      <c r="S137" s="272"/>
      <c r="T137" s="272"/>
      <c r="U137" s="272"/>
      <c r="V137" s="272"/>
      <c r="W137" s="272"/>
      <c r="X137" s="272"/>
      <c r="Y137" s="272"/>
      <c r="Z137" s="272"/>
      <c r="AA137" s="272"/>
      <c r="AB137" s="272"/>
      <c r="AC137" s="272"/>
      <c r="AD137" s="272"/>
      <c r="AE137" s="272"/>
      <c r="AF137" s="272"/>
      <c r="AG137" s="272"/>
      <c r="AH137" s="272"/>
      <c r="AI137" s="272"/>
      <c r="AJ137" s="272"/>
      <c r="AK137" s="272"/>
      <c r="AL137" s="272"/>
      <c r="AM137" s="272"/>
      <c r="AN137" s="272"/>
    </row>
    <row r="138" spans="1:40" s="226" customFormat="1" ht="9.75" customHeight="1">
      <c r="A138" s="232"/>
      <c r="B138" s="272"/>
      <c r="C138" s="272"/>
      <c r="D138" s="272"/>
      <c r="E138" s="272"/>
      <c r="F138" s="272"/>
      <c r="G138" s="272"/>
      <c r="H138" s="400"/>
      <c r="I138" s="272"/>
      <c r="J138" s="272"/>
      <c r="K138" s="272"/>
      <c r="L138" s="272"/>
      <c r="M138" s="272"/>
      <c r="N138" s="272"/>
      <c r="O138" s="272"/>
      <c r="P138" s="272"/>
      <c r="Q138" s="272"/>
      <c r="R138" s="272"/>
      <c r="S138" s="272"/>
      <c r="T138" s="272"/>
      <c r="U138" s="272"/>
      <c r="V138" s="272"/>
      <c r="W138" s="272"/>
      <c r="X138" s="272"/>
      <c r="Y138" s="272"/>
      <c r="Z138" s="272"/>
      <c r="AA138" s="272"/>
      <c r="AB138" s="272"/>
      <c r="AC138" s="272"/>
      <c r="AD138" s="272"/>
      <c r="AE138" s="272"/>
      <c r="AF138" s="272"/>
      <c r="AG138" s="272"/>
      <c r="AH138" s="272"/>
      <c r="AI138" s="272"/>
      <c r="AJ138" s="272"/>
      <c r="AK138" s="272"/>
      <c r="AL138" s="272"/>
      <c r="AM138" s="272"/>
      <c r="AN138" s="272"/>
    </row>
    <row r="139" spans="1:40" s="226" customFormat="1" ht="9.75" customHeight="1">
      <c r="A139" s="232"/>
      <c r="B139" s="272"/>
      <c r="C139" s="272"/>
      <c r="D139" s="272"/>
      <c r="E139" s="272"/>
      <c r="F139" s="272"/>
      <c r="G139" s="272"/>
      <c r="H139" s="400"/>
      <c r="I139" s="272"/>
      <c r="J139" s="272"/>
      <c r="K139" s="272"/>
      <c r="L139" s="272"/>
      <c r="M139" s="272"/>
      <c r="N139" s="272"/>
      <c r="O139" s="272"/>
      <c r="P139" s="272"/>
      <c r="Q139" s="272"/>
      <c r="R139" s="272"/>
      <c r="S139" s="272"/>
      <c r="T139" s="272"/>
      <c r="U139" s="272"/>
      <c r="V139" s="272"/>
      <c r="W139" s="272"/>
      <c r="X139" s="272"/>
      <c r="Y139" s="272"/>
      <c r="Z139" s="272"/>
      <c r="AA139" s="272"/>
      <c r="AB139" s="272"/>
      <c r="AC139" s="272"/>
      <c r="AD139" s="272"/>
      <c r="AE139" s="272"/>
      <c r="AF139" s="272"/>
      <c r="AG139" s="272"/>
      <c r="AH139" s="272"/>
      <c r="AI139" s="272"/>
      <c r="AJ139" s="272"/>
      <c r="AK139" s="272"/>
      <c r="AL139" s="272"/>
      <c r="AM139" s="272"/>
      <c r="AN139" s="272"/>
    </row>
    <row r="140" spans="1:40" s="226" customFormat="1" ht="9.75" customHeight="1">
      <c r="A140" s="232"/>
      <c r="B140" s="272"/>
      <c r="C140" s="272"/>
      <c r="D140" s="272"/>
      <c r="E140" s="272"/>
      <c r="F140" s="272"/>
      <c r="G140" s="272"/>
      <c r="H140" s="400"/>
      <c r="I140" s="272"/>
      <c r="J140" s="272"/>
      <c r="K140" s="272"/>
      <c r="L140" s="272"/>
      <c r="M140" s="272"/>
      <c r="N140" s="272"/>
      <c r="O140" s="272"/>
      <c r="P140" s="272"/>
      <c r="Q140" s="272"/>
      <c r="R140" s="272"/>
      <c r="S140" s="272"/>
      <c r="T140" s="272"/>
      <c r="U140" s="272"/>
      <c r="V140" s="272"/>
      <c r="W140" s="272"/>
      <c r="X140" s="272"/>
      <c r="Y140" s="272"/>
      <c r="Z140" s="272"/>
      <c r="AA140" s="272"/>
      <c r="AB140" s="272"/>
      <c r="AC140" s="272"/>
      <c r="AD140" s="272"/>
      <c r="AE140" s="272"/>
      <c r="AF140" s="272"/>
      <c r="AG140" s="272"/>
      <c r="AH140" s="272"/>
      <c r="AI140" s="272"/>
      <c r="AJ140" s="272"/>
      <c r="AK140" s="272"/>
      <c r="AL140" s="272"/>
      <c r="AM140" s="272"/>
      <c r="AN140" s="272"/>
    </row>
    <row r="141" spans="1:40" s="226" customFormat="1" ht="9.75" customHeight="1">
      <c r="A141" s="232"/>
      <c r="B141" s="272"/>
      <c r="C141" s="272"/>
      <c r="D141" s="272"/>
      <c r="E141" s="272"/>
      <c r="F141" s="272"/>
      <c r="G141" s="272"/>
      <c r="H141" s="400"/>
      <c r="I141" s="272"/>
      <c r="J141" s="272"/>
      <c r="K141" s="272"/>
      <c r="L141" s="272"/>
      <c r="M141" s="272"/>
      <c r="N141" s="272"/>
      <c r="O141" s="272"/>
      <c r="P141" s="272"/>
      <c r="Q141" s="272"/>
      <c r="R141" s="272"/>
      <c r="S141" s="272"/>
      <c r="T141" s="272"/>
      <c r="U141" s="272"/>
      <c r="V141" s="272"/>
      <c r="W141" s="272"/>
      <c r="X141" s="272"/>
      <c r="Y141" s="272"/>
      <c r="Z141" s="272"/>
      <c r="AA141" s="272"/>
      <c r="AB141" s="272"/>
      <c r="AC141" s="272"/>
      <c r="AD141" s="272"/>
      <c r="AE141" s="272"/>
      <c r="AF141" s="272"/>
      <c r="AG141" s="272"/>
      <c r="AH141" s="272"/>
      <c r="AI141" s="272"/>
      <c r="AJ141" s="272"/>
      <c r="AK141" s="272"/>
      <c r="AL141" s="272"/>
      <c r="AM141" s="272"/>
      <c r="AN141" s="272"/>
    </row>
    <row r="142" spans="1:40" s="226" customFormat="1" ht="9.75" customHeight="1">
      <c r="A142" s="232"/>
      <c r="B142" s="272"/>
      <c r="C142" s="272"/>
      <c r="D142" s="272"/>
      <c r="E142" s="272"/>
      <c r="F142" s="272"/>
      <c r="G142" s="272"/>
      <c r="H142" s="400"/>
      <c r="I142" s="272"/>
      <c r="J142" s="272"/>
      <c r="K142" s="272"/>
      <c r="L142" s="272"/>
      <c r="M142" s="272"/>
      <c r="N142" s="272"/>
      <c r="O142" s="272"/>
      <c r="P142" s="272"/>
      <c r="Q142" s="272"/>
      <c r="R142" s="272"/>
      <c r="S142" s="272"/>
      <c r="T142" s="272"/>
      <c r="U142" s="272"/>
      <c r="V142" s="272"/>
      <c r="W142" s="272"/>
      <c r="X142" s="272"/>
      <c r="Y142" s="272"/>
      <c r="Z142" s="272"/>
      <c r="AA142" s="272"/>
      <c r="AB142" s="272"/>
      <c r="AC142" s="272"/>
      <c r="AD142" s="272"/>
      <c r="AE142" s="272"/>
      <c r="AF142" s="272"/>
      <c r="AG142" s="272"/>
      <c r="AH142" s="272"/>
      <c r="AI142" s="272"/>
      <c r="AJ142" s="272"/>
      <c r="AK142" s="272"/>
      <c r="AL142" s="272"/>
      <c r="AM142" s="272"/>
      <c r="AN142" s="272"/>
    </row>
    <row r="143" spans="1:40" s="226" customFormat="1" ht="9.75" customHeight="1">
      <c r="A143" s="232"/>
      <c r="B143" s="272"/>
      <c r="C143" s="272"/>
      <c r="D143" s="272"/>
      <c r="E143" s="272"/>
      <c r="F143" s="272"/>
      <c r="G143" s="272"/>
      <c r="H143" s="400"/>
      <c r="I143" s="272"/>
      <c r="J143" s="272"/>
      <c r="K143" s="272"/>
      <c r="L143" s="272"/>
      <c r="M143" s="272"/>
      <c r="N143" s="272"/>
      <c r="O143" s="272"/>
      <c r="P143" s="272"/>
      <c r="Q143" s="272"/>
      <c r="R143" s="272"/>
      <c r="S143" s="272"/>
      <c r="T143" s="272"/>
      <c r="U143" s="272"/>
      <c r="V143" s="272"/>
      <c r="W143" s="272"/>
      <c r="X143" s="272"/>
      <c r="Y143" s="272"/>
      <c r="Z143" s="272"/>
      <c r="AA143" s="272"/>
      <c r="AB143" s="272"/>
      <c r="AC143" s="272"/>
      <c r="AD143" s="272"/>
      <c r="AE143" s="272"/>
      <c r="AF143" s="272"/>
      <c r="AG143" s="272"/>
      <c r="AH143" s="272"/>
      <c r="AI143" s="272"/>
      <c r="AJ143" s="272"/>
      <c r="AK143" s="272"/>
      <c r="AL143" s="272"/>
      <c r="AM143" s="272"/>
      <c r="AN143" s="272"/>
    </row>
    <row r="144" spans="1:40" s="226" customFormat="1" ht="9.75" customHeight="1">
      <c r="A144" s="232"/>
      <c r="B144" s="272"/>
      <c r="C144" s="272"/>
      <c r="D144" s="272"/>
      <c r="E144" s="272"/>
      <c r="F144" s="272"/>
      <c r="G144" s="272"/>
      <c r="H144" s="400"/>
      <c r="I144" s="272"/>
      <c r="J144" s="272"/>
      <c r="K144" s="272"/>
      <c r="L144" s="272"/>
      <c r="M144" s="272"/>
      <c r="N144" s="272"/>
      <c r="O144" s="272"/>
      <c r="P144" s="272"/>
      <c r="Q144" s="272"/>
      <c r="R144" s="272"/>
      <c r="S144" s="272"/>
      <c r="T144" s="272"/>
      <c r="U144" s="272"/>
      <c r="V144" s="272"/>
      <c r="W144" s="272"/>
      <c r="X144" s="272"/>
      <c r="Y144" s="272"/>
      <c r="Z144" s="272"/>
      <c r="AA144" s="272"/>
      <c r="AB144" s="272"/>
      <c r="AC144" s="272"/>
      <c r="AD144" s="272"/>
      <c r="AE144" s="272"/>
      <c r="AF144" s="272"/>
      <c r="AG144" s="272"/>
      <c r="AH144" s="272"/>
      <c r="AI144" s="272"/>
      <c r="AJ144" s="272"/>
      <c r="AK144" s="272"/>
      <c r="AL144" s="272"/>
      <c r="AM144" s="272"/>
      <c r="AN144" s="272"/>
    </row>
    <row r="145" spans="1:40" s="226" customFormat="1" ht="9.75" customHeight="1">
      <c r="A145" s="232"/>
      <c r="B145" s="272"/>
      <c r="C145" s="272"/>
      <c r="D145" s="272"/>
      <c r="E145" s="272"/>
      <c r="F145" s="272"/>
      <c r="G145" s="272"/>
      <c r="H145" s="400"/>
      <c r="I145" s="272"/>
      <c r="J145" s="272"/>
      <c r="K145" s="272"/>
      <c r="L145" s="272"/>
      <c r="M145" s="272"/>
      <c r="N145" s="272"/>
      <c r="O145" s="272"/>
      <c r="P145" s="272"/>
      <c r="Q145" s="272"/>
      <c r="R145" s="272"/>
      <c r="S145" s="272"/>
      <c r="T145" s="272"/>
      <c r="U145" s="272"/>
      <c r="V145" s="272"/>
      <c r="W145" s="272"/>
      <c r="X145" s="272"/>
      <c r="Y145" s="272"/>
      <c r="Z145" s="272"/>
      <c r="AA145" s="272"/>
      <c r="AB145" s="272"/>
      <c r="AC145" s="272"/>
      <c r="AD145" s="272"/>
      <c r="AE145" s="272"/>
      <c r="AF145" s="272"/>
      <c r="AG145" s="272"/>
      <c r="AH145" s="272"/>
      <c r="AI145" s="272"/>
      <c r="AJ145" s="272"/>
      <c r="AK145" s="272"/>
      <c r="AL145" s="272"/>
      <c r="AM145" s="272"/>
      <c r="AN145" s="272"/>
    </row>
    <row r="146" spans="1:40" s="226" customFormat="1" ht="9.75" customHeight="1">
      <c r="A146" s="232"/>
      <c r="H146" s="231"/>
    </row>
    <row r="147" spans="1:40" s="226" customFormat="1" ht="9.75" customHeight="1">
      <c r="A147" s="232"/>
      <c r="H147" s="231"/>
    </row>
    <row r="148" spans="1:40" s="226" customFormat="1" ht="9.75" customHeight="1">
      <c r="A148" s="232"/>
      <c r="H148" s="231"/>
    </row>
    <row r="149" spans="1:40" s="226" customFormat="1" ht="9.75" customHeight="1">
      <c r="A149" s="232"/>
      <c r="H149" s="231"/>
    </row>
    <row r="150" spans="1:40" s="226" customFormat="1" ht="9.75" customHeight="1">
      <c r="A150" s="232"/>
      <c r="H150" s="231"/>
    </row>
    <row r="151" spans="1:40" s="226" customFormat="1" ht="9.75" customHeight="1">
      <c r="A151" s="232"/>
      <c r="H151" s="231"/>
    </row>
    <row r="152" spans="1:40" s="226" customFormat="1" ht="9.75" customHeight="1">
      <c r="A152" s="232"/>
      <c r="H152" s="231"/>
    </row>
    <row r="153" spans="1:40" s="226" customFormat="1" ht="9.75" customHeight="1">
      <c r="A153" s="232"/>
      <c r="H153" s="231"/>
    </row>
    <row r="154" spans="1:40" s="226" customFormat="1" ht="9.75" customHeight="1">
      <c r="A154" s="232"/>
      <c r="H154" s="231"/>
    </row>
    <row r="155" spans="1:40" s="226" customFormat="1" ht="9.75" customHeight="1">
      <c r="A155" s="232"/>
      <c r="H155" s="231"/>
    </row>
    <row r="156" spans="1:40" s="226" customFormat="1" ht="9.75" customHeight="1">
      <c r="A156" s="232"/>
      <c r="H156" s="231"/>
    </row>
    <row r="157" spans="1:40" s="226" customFormat="1" ht="9.75" customHeight="1">
      <c r="A157" s="232"/>
      <c r="H157" s="231"/>
    </row>
    <row r="158" spans="1:40" s="226" customFormat="1" ht="9.75" customHeight="1">
      <c r="A158" s="232"/>
      <c r="H158" s="231"/>
    </row>
    <row r="159" spans="1:40" s="226" customFormat="1" ht="9.75" customHeight="1">
      <c r="A159" s="232"/>
      <c r="H159" s="231"/>
    </row>
    <row r="160" spans="1:40" s="226" customFormat="1" ht="9.75" customHeight="1">
      <c r="A160" s="232"/>
      <c r="H160" s="231"/>
    </row>
    <row r="161" spans="1:8" s="226" customFormat="1" ht="9.75" customHeight="1">
      <c r="A161" s="232"/>
      <c r="H161" s="231"/>
    </row>
    <row r="162" spans="1:8" s="226" customFormat="1" ht="9.75" customHeight="1">
      <c r="A162" s="232"/>
      <c r="H162" s="231"/>
    </row>
    <row r="163" spans="1:8" s="226" customFormat="1" ht="9.75" customHeight="1">
      <c r="A163" s="232"/>
      <c r="H163" s="231"/>
    </row>
    <row r="164" spans="1:8" s="226" customFormat="1" ht="9.75" customHeight="1">
      <c r="A164" s="232"/>
      <c r="H164" s="231"/>
    </row>
    <row r="165" spans="1:8" s="226" customFormat="1" ht="9.75" customHeight="1">
      <c r="A165" s="232"/>
      <c r="H165" s="231"/>
    </row>
    <row r="166" spans="1:8" s="226" customFormat="1" ht="9.75" customHeight="1">
      <c r="A166" s="232"/>
      <c r="H166" s="231"/>
    </row>
    <row r="167" spans="1:8" s="226" customFormat="1" ht="9.75" customHeight="1">
      <c r="A167" s="232"/>
      <c r="H167" s="231"/>
    </row>
    <row r="168" spans="1:8" s="226" customFormat="1" ht="9.75" customHeight="1">
      <c r="A168" s="232"/>
      <c r="H168" s="231"/>
    </row>
    <row r="169" spans="1:8" s="226" customFormat="1" ht="9.75" customHeight="1">
      <c r="A169" s="232"/>
      <c r="H169" s="231"/>
    </row>
    <row r="170" spans="1:8" s="226" customFormat="1" ht="9.75" customHeight="1">
      <c r="A170" s="232"/>
      <c r="H170" s="231"/>
    </row>
    <row r="171" spans="1:8" s="226" customFormat="1" ht="9.75" customHeight="1">
      <c r="A171" s="232"/>
      <c r="H171" s="231"/>
    </row>
    <row r="172" spans="1:8" s="226" customFormat="1" ht="9.75" customHeight="1">
      <c r="A172" s="232"/>
      <c r="H172" s="231"/>
    </row>
    <row r="173" spans="1:8" s="226" customFormat="1" ht="9.75" customHeight="1">
      <c r="A173" s="232"/>
      <c r="H173" s="231"/>
    </row>
    <row r="174" spans="1:8" s="226" customFormat="1" ht="9.75" customHeight="1">
      <c r="A174" s="232"/>
      <c r="H174" s="231"/>
    </row>
    <row r="175" spans="1:8" s="226" customFormat="1" ht="9.75" customHeight="1">
      <c r="A175" s="232"/>
      <c r="H175" s="231"/>
    </row>
    <row r="176" spans="1:8" s="226" customFormat="1" ht="9.75" customHeight="1">
      <c r="A176" s="232"/>
      <c r="H176" s="231"/>
    </row>
    <row r="177" spans="1:8" s="226" customFormat="1" ht="9.75" customHeight="1">
      <c r="A177" s="232"/>
      <c r="H177" s="231"/>
    </row>
    <row r="178" spans="1:8" s="226" customFormat="1" ht="9.75" customHeight="1">
      <c r="A178" s="232"/>
      <c r="H178" s="231"/>
    </row>
    <row r="179" spans="1:8" s="226" customFormat="1" ht="9.75" customHeight="1">
      <c r="A179" s="232"/>
      <c r="H179" s="231"/>
    </row>
    <row r="180" spans="1:8" s="226" customFormat="1" ht="9.75" customHeight="1">
      <c r="A180" s="232"/>
      <c r="H180" s="231"/>
    </row>
    <row r="181" spans="1:8" s="226" customFormat="1" ht="9.75" customHeight="1">
      <c r="A181" s="232"/>
      <c r="H181" s="231"/>
    </row>
    <row r="182" spans="1:8" s="226" customFormat="1" ht="9.75" customHeight="1">
      <c r="A182" s="232"/>
      <c r="H182" s="231"/>
    </row>
    <row r="183" spans="1:8" s="226" customFormat="1" ht="9.75" customHeight="1">
      <c r="A183" s="232"/>
      <c r="H183" s="231"/>
    </row>
    <row r="184" spans="1:8" s="226" customFormat="1" ht="9.75" customHeight="1">
      <c r="A184" s="232"/>
      <c r="H184" s="231"/>
    </row>
    <row r="185" spans="1:8" s="226" customFormat="1" ht="9.75" customHeight="1">
      <c r="A185" s="232"/>
      <c r="H185" s="231"/>
    </row>
    <row r="186" spans="1:8" s="226" customFormat="1" ht="9.75" customHeight="1">
      <c r="A186" s="232"/>
      <c r="H186" s="231"/>
    </row>
    <row r="187" spans="1:8" s="226" customFormat="1" ht="9.75" customHeight="1">
      <c r="A187" s="232"/>
      <c r="H187" s="231"/>
    </row>
    <row r="188" spans="1:8" s="226" customFormat="1" ht="9.75" customHeight="1">
      <c r="A188" s="232"/>
      <c r="H188" s="231"/>
    </row>
    <row r="189" spans="1:8" s="226" customFormat="1" ht="9.75" customHeight="1">
      <c r="A189" s="232"/>
      <c r="H189" s="231"/>
    </row>
    <row r="190" spans="1:8" s="226" customFormat="1" ht="9.75" customHeight="1">
      <c r="A190" s="232"/>
      <c r="H190" s="231"/>
    </row>
    <row r="191" spans="1:8" s="226" customFormat="1" ht="9.75" customHeight="1">
      <c r="A191" s="232"/>
      <c r="H191" s="231"/>
    </row>
    <row r="192" spans="1:8" s="226" customFormat="1" ht="9.75" customHeight="1">
      <c r="A192" s="232"/>
      <c r="H192" s="231"/>
    </row>
    <row r="193" spans="1:8" s="226" customFormat="1" ht="9.75" customHeight="1">
      <c r="A193" s="232"/>
      <c r="H193" s="231"/>
    </row>
    <row r="194" spans="1:8" s="226" customFormat="1" ht="9.75" customHeight="1">
      <c r="A194" s="232"/>
      <c r="H194" s="231"/>
    </row>
    <row r="195" spans="1:8" s="226" customFormat="1" ht="9.75" customHeight="1">
      <c r="A195" s="232"/>
      <c r="H195" s="231"/>
    </row>
    <row r="196" spans="1:8" s="226" customFormat="1" ht="9.75" customHeight="1">
      <c r="A196" s="232"/>
      <c r="H196" s="231"/>
    </row>
    <row r="197" spans="1:8" s="226" customFormat="1" ht="9.75" customHeight="1">
      <c r="A197" s="232"/>
      <c r="H197" s="231"/>
    </row>
    <row r="198" spans="1:8" s="226" customFormat="1" ht="9.75" customHeight="1">
      <c r="A198" s="232"/>
      <c r="H198" s="231"/>
    </row>
    <row r="199" spans="1:8" s="226" customFormat="1" ht="9.75" customHeight="1">
      <c r="A199" s="232"/>
      <c r="H199" s="231"/>
    </row>
    <row r="200" spans="1:8" s="226" customFormat="1" ht="9.75" customHeight="1">
      <c r="A200" s="232"/>
      <c r="H200" s="231"/>
    </row>
    <row r="201" spans="1:8" s="226" customFormat="1" ht="9.75" customHeight="1">
      <c r="A201" s="232"/>
      <c r="H201" s="231"/>
    </row>
    <row r="202" spans="1:8" s="226" customFormat="1" ht="9.75" customHeight="1">
      <c r="A202" s="232"/>
      <c r="H202" s="231"/>
    </row>
    <row r="203" spans="1:8" s="226" customFormat="1" ht="9.75" customHeight="1">
      <c r="A203" s="232"/>
      <c r="H203" s="231"/>
    </row>
    <row r="204" spans="1:8" s="226" customFormat="1" ht="9.75" customHeight="1">
      <c r="A204" s="232"/>
      <c r="H204" s="231"/>
    </row>
    <row r="205" spans="1:8" s="226" customFormat="1" ht="9.75" customHeight="1">
      <c r="A205" s="232"/>
      <c r="H205" s="231"/>
    </row>
    <row r="206" spans="1:8" s="226" customFormat="1" ht="9.75" customHeight="1">
      <c r="A206" s="232"/>
      <c r="H206" s="231"/>
    </row>
    <row r="207" spans="1:8" s="226" customFormat="1" ht="9.75" customHeight="1">
      <c r="A207" s="232"/>
      <c r="H207" s="231"/>
    </row>
    <row r="208" spans="1:8" s="226" customFormat="1" ht="9.75" customHeight="1">
      <c r="A208" s="232"/>
      <c r="H208" s="231"/>
    </row>
    <row r="209" spans="1:8" s="226" customFormat="1" ht="9.75" customHeight="1">
      <c r="A209" s="232"/>
      <c r="H209" s="231"/>
    </row>
    <row r="210" spans="1:8" s="226" customFormat="1" ht="9.75" customHeight="1">
      <c r="A210" s="232"/>
      <c r="H210" s="231"/>
    </row>
    <row r="211" spans="1:8" s="226" customFormat="1" ht="9.75" customHeight="1">
      <c r="A211" s="232"/>
      <c r="H211" s="231"/>
    </row>
    <row r="212" spans="1:8" s="226" customFormat="1" ht="9.75" customHeight="1">
      <c r="A212" s="232"/>
      <c r="H212" s="231"/>
    </row>
    <row r="213" spans="1:8" s="226" customFormat="1" ht="9.75" customHeight="1">
      <c r="A213" s="232"/>
      <c r="H213" s="231"/>
    </row>
    <row r="214" spans="1:8" s="226" customFormat="1" ht="9.75" customHeight="1">
      <c r="A214" s="232"/>
      <c r="H214" s="231"/>
    </row>
    <row r="215" spans="1:8" s="226" customFormat="1" ht="9.75" customHeight="1">
      <c r="A215" s="232"/>
      <c r="H215" s="231"/>
    </row>
    <row r="216" spans="1:8" s="226" customFormat="1" ht="9.75" customHeight="1">
      <c r="A216" s="232"/>
      <c r="H216" s="231"/>
    </row>
    <row r="217" spans="1:8" s="226" customFormat="1" ht="9.75" customHeight="1">
      <c r="A217" s="232"/>
      <c r="H217" s="231"/>
    </row>
    <row r="218" spans="1:8" s="226" customFormat="1" ht="9.75" customHeight="1">
      <c r="A218" s="232"/>
      <c r="H218" s="231"/>
    </row>
    <row r="219" spans="1:8" s="226" customFormat="1" ht="9.75" customHeight="1">
      <c r="A219" s="232"/>
      <c r="H219" s="231"/>
    </row>
    <row r="220" spans="1:8" s="226" customFormat="1" ht="9.75" customHeight="1">
      <c r="A220" s="232"/>
      <c r="H220" s="231"/>
    </row>
    <row r="221" spans="1:8" s="226" customFormat="1" ht="9.75" customHeight="1">
      <c r="A221" s="232"/>
      <c r="H221" s="231"/>
    </row>
    <row r="222" spans="1:8" s="226" customFormat="1" ht="9.75" customHeight="1">
      <c r="A222" s="232"/>
      <c r="H222" s="231"/>
    </row>
    <row r="223" spans="1:8" s="226" customFormat="1" ht="9.75" customHeight="1">
      <c r="A223" s="232"/>
      <c r="H223" s="231"/>
    </row>
    <row r="224" spans="1:8" s="226" customFormat="1" ht="9.75" customHeight="1">
      <c r="A224" s="232"/>
      <c r="H224" s="231"/>
    </row>
    <row r="225" spans="1:8" s="226" customFormat="1" ht="9.75" customHeight="1">
      <c r="A225" s="232"/>
      <c r="H225" s="231"/>
    </row>
    <row r="226" spans="1:8" s="226" customFormat="1" ht="9.75" customHeight="1">
      <c r="A226" s="232"/>
      <c r="H226" s="231"/>
    </row>
    <row r="227" spans="1:8" s="226" customFormat="1" ht="9.75" customHeight="1">
      <c r="A227" s="232"/>
      <c r="H227" s="231"/>
    </row>
    <row r="228" spans="1:8" s="226" customFormat="1" ht="9.75" customHeight="1">
      <c r="A228" s="232"/>
      <c r="H228" s="231"/>
    </row>
    <row r="229" spans="1:8" s="226" customFormat="1" ht="9.75" customHeight="1">
      <c r="A229" s="232"/>
      <c r="H229" s="231"/>
    </row>
    <row r="230" spans="1:8" s="226" customFormat="1" ht="9.75" customHeight="1">
      <c r="A230" s="232"/>
      <c r="H230" s="231"/>
    </row>
    <row r="231" spans="1:8" s="226" customFormat="1" ht="9.75" customHeight="1">
      <c r="A231" s="232"/>
      <c r="H231" s="231"/>
    </row>
    <row r="232" spans="1:8" s="226" customFormat="1" ht="9.75" customHeight="1">
      <c r="A232" s="232"/>
      <c r="H232" s="231"/>
    </row>
    <row r="233" spans="1:8" s="226" customFormat="1" ht="9.75" customHeight="1">
      <c r="A233" s="232"/>
      <c r="H233" s="231"/>
    </row>
    <row r="234" spans="1:8" s="226" customFormat="1" ht="9.75" customHeight="1">
      <c r="A234" s="232"/>
      <c r="H234" s="231"/>
    </row>
    <row r="235" spans="1:8" s="226" customFormat="1" ht="9.75" customHeight="1">
      <c r="A235" s="232"/>
      <c r="H235" s="231"/>
    </row>
    <row r="236" spans="1:8" s="226" customFormat="1" ht="9.75" customHeight="1">
      <c r="A236" s="232"/>
      <c r="H236" s="231"/>
    </row>
    <row r="237" spans="1:8" s="226" customFormat="1" ht="9.75" customHeight="1">
      <c r="A237" s="232"/>
      <c r="H237" s="231"/>
    </row>
    <row r="238" spans="1:8" s="226" customFormat="1" ht="9.75" customHeight="1">
      <c r="A238" s="232"/>
      <c r="H238" s="231"/>
    </row>
    <row r="239" spans="1:8" s="226" customFormat="1" ht="9.75" customHeight="1">
      <c r="A239" s="232"/>
      <c r="H239" s="231"/>
    </row>
    <row r="240" spans="1:8" s="226" customFormat="1" ht="9.75" customHeight="1">
      <c r="A240" s="232"/>
      <c r="H240" s="231"/>
    </row>
    <row r="241" spans="1:8" s="226" customFormat="1" ht="9.75" customHeight="1">
      <c r="A241" s="232"/>
      <c r="H241" s="231"/>
    </row>
    <row r="242" spans="1:8" s="226" customFormat="1" ht="9.75" customHeight="1">
      <c r="A242" s="232"/>
      <c r="H242" s="231"/>
    </row>
    <row r="243" spans="1:8" s="226" customFormat="1" ht="9.75" customHeight="1">
      <c r="A243" s="232"/>
      <c r="H243" s="231"/>
    </row>
    <row r="244" spans="1:8" s="226" customFormat="1" ht="9.75" customHeight="1">
      <c r="A244" s="232"/>
      <c r="H244" s="231"/>
    </row>
    <row r="245" spans="1:8" s="226" customFormat="1" ht="9.75" customHeight="1">
      <c r="A245" s="232"/>
      <c r="H245" s="231"/>
    </row>
    <row r="246" spans="1:8" s="226" customFormat="1" ht="9.75" customHeight="1">
      <c r="A246" s="232"/>
      <c r="H246" s="231"/>
    </row>
    <row r="247" spans="1:8" s="226" customFormat="1" ht="9.75" customHeight="1">
      <c r="A247" s="232"/>
      <c r="H247" s="231"/>
    </row>
    <row r="248" spans="1:8" s="226" customFormat="1" ht="9.75" customHeight="1">
      <c r="A248" s="232"/>
      <c r="H248" s="231"/>
    </row>
    <row r="249" spans="1:8" s="226" customFormat="1" ht="9.75" customHeight="1">
      <c r="A249" s="232"/>
      <c r="H249" s="231"/>
    </row>
    <row r="250" spans="1:8" s="226" customFormat="1" ht="9.75" customHeight="1">
      <c r="A250" s="232"/>
      <c r="H250" s="231"/>
    </row>
    <row r="251" spans="1:8" s="226" customFormat="1" ht="9.75" customHeight="1">
      <c r="A251" s="232"/>
      <c r="H251" s="231"/>
    </row>
    <row r="252" spans="1:8" s="226" customFormat="1" ht="9.75" customHeight="1">
      <c r="A252" s="232"/>
      <c r="H252" s="231"/>
    </row>
    <row r="253" spans="1:8" s="226" customFormat="1" ht="9.75" customHeight="1">
      <c r="A253" s="232"/>
      <c r="H253" s="231"/>
    </row>
    <row r="254" spans="1:8" s="226" customFormat="1" ht="9.75" customHeight="1">
      <c r="A254" s="232"/>
      <c r="H254" s="231"/>
    </row>
    <row r="255" spans="1:8" s="226" customFormat="1" ht="9.75" customHeight="1">
      <c r="A255" s="232"/>
      <c r="H255" s="231"/>
    </row>
    <row r="256" spans="1:8" s="226" customFormat="1" ht="9.75" customHeight="1">
      <c r="A256" s="232"/>
      <c r="H256" s="231"/>
    </row>
    <row r="257" spans="1:8" s="226" customFormat="1" ht="9.75" customHeight="1">
      <c r="A257" s="232"/>
      <c r="H257" s="231"/>
    </row>
    <row r="258" spans="1:8" s="226" customFormat="1" ht="9.75" customHeight="1">
      <c r="A258" s="232"/>
      <c r="H258" s="231"/>
    </row>
    <row r="259" spans="1:8" s="226" customFormat="1" ht="9.75" customHeight="1">
      <c r="A259" s="232"/>
      <c r="H259" s="231"/>
    </row>
    <row r="260" spans="1:8" s="226" customFormat="1" ht="9.75" customHeight="1">
      <c r="A260" s="232"/>
      <c r="H260" s="231"/>
    </row>
    <row r="261" spans="1:8" s="226" customFormat="1" ht="9.75" customHeight="1">
      <c r="A261" s="232"/>
      <c r="H261" s="231"/>
    </row>
    <row r="262" spans="1:8" s="226" customFormat="1" ht="9.75" customHeight="1">
      <c r="A262" s="232"/>
      <c r="H262" s="231"/>
    </row>
    <row r="263" spans="1:8" s="226" customFormat="1" ht="9.75" customHeight="1">
      <c r="A263" s="232"/>
      <c r="H263" s="231"/>
    </row>
    <row r="264" spans="1:8" s="226" customFormat="1" ht="9.75" customHeight="1">
      <c r="A264" s="232"/>
      <c r="H264" s="231"/>
    </row>
    <row r="265" spans="1:8" s="226" customFormat="1" ht="9.75" customHeight="1">
      <c r="A265" s="232"/>
      <c r="H265" s="231"/>
    </row>
    <row r="266" spans="1:8" s="226" customFormat="1" ht="9.75" customHeight="1">
      <c r="A266" s="232"/>
      <c r="H266" s="231"/>
    </row>
    <row r="267" spans="1:8" s="226" customFormat="1" ht="9.75" customHeight="1">
      <c r="A267" s="232"/>
      <c r="H267" s="231"/>
    </row>
    <row r="268" spans="1:8" s="226" customFormat="1" ht="9.75" customHeight="1">
      <c r="A268" s="232"/>
      <c r="H268" s="231"/>
    </row>
    <row r="269" spans="1:8" s="226" customFormat="1" ht="9.75" customHeight="1">
      <c r="A269" s="232"/>
      <c r="H269" s="231"/>
    </row>
    <row r="270" spans="1:8" s="226" customFormat="1" ht="9.75" customHeight="1">
      <c r="A270" s="232"/>
      <c r="H270" s="231"/>
    </row>
    <row r="271" spans="1:8" s="226" customFormat="1" ht="9.75" customHeight="1">
      <c r="A271" s="232"/>
      <c r="H271" s="231"/>
    </row>
    <row r="272" spans="1:8" s="226" customFormat="1" ht="9.75" customHeight="1">
      <c r="A272" s="232"/>
      <c r="H272" s="231"/>
    </row>
    <row r="273" spans="1:8" s="226" customFormat="1" ht="9.75" customHeight="1">
      <c r="A273" s="232"/>
      <c r="H273" s="231"/>
    </row>
    <row r="274" spans="1:8" s="226" customFormat="1" ht="9.75" customHeight="1">
      <c r="A274" s="232"/>
      <c r="H274" s="231"/>
    </row>
    <row r="275" spans="1:8" s="226" customFormat="1" ht="9.75" customHeight="1">
      <c r="A275" s="232"/>
      <c r="H275" s="231"/>
    </row>
    <row r="276" spans="1:8" s="226" customFormat="1" ht="9.75" customHeight="1">
      <c r="A276" s="232"/>
      <c r="H276" s="231"/>
    </row>
    <row r="277" spans="1:8" s="226" customFormat="1" ht="9.75" customHeight="1">
      <c r="A277" s="232"/>
      <c r="H277" s="231"/>
    </row>
    <row r="278" spans="1:8" s="226" customFormat="1" ht="9.75" customHeight="1">
      <c r="A278" s="232"/>
      <c r="H278" s="231"/>
    </row>
    <row r="279" spans="1:8" s="226" customFormat="1" ht="9.75" customHeight="1">
      <c r="A279" s="232"/>
      <c r="H279" s="231"/>
    </row>
    <row r="280" spans="1:8" s="226" customFormat="1" ht="9.75" customHeight="1">
      <c r="A280" s="232"/>
      <c r="H280" s="231"/>
    </row>
    <row r="281" spans="1:8" s="226" customFormat="1" ht="9.75" customHeight="1">
      <c r="A281" s="232"/>
      <c r="H281" s="231"/>
    </row>
    <row r="282" spans="1:8" s="226" customFormat="1" ht="9.75" customHeight="1">
      <c r="A282" s="232"/>
      <c r="H282" s="231"/>
    </row>
    <row r="283" spans="1:8" s="226" customFormat="1" ht="9.75" customHeight="1">
      <c r="A283" s="232"/>
      <c r="H283" s="231"/>
    </row>
    <row r="284" spans="1:8" s="226" customFormat="1" ht="9.75" customHeight="1">
      <c r="A284" s="232"/>
      <c r="H284" s="231"/>
    </row>
    <row r="285" spans="1:8" s="226" customFormat="1" ht="9.75" customHeight="1">
      <c r="A285" s="232"/>
      <c r="H285" s="231"/>
    </row>
    <row r="286" spans="1:8" s="226" customFormat="1" ht="9.75" customHeight="1">
      <c r="A286" s="232"/>
      <c r="H286" s="231"/>
    </row>
    <row r="287" spans="1:8" s="226" customFormat="1" ht="9.75" customHeight="1">
      <c r="A287" s="232"/>
      <c r="H287" s="231"/>
    </row>
    <row r="288" spans="1:8" s="226" customFormat="1" ht="9.75" customHeight="1">
      <c r="A288" s="232"/>
      <c r="H288" s="231"/>
    </row>
    <row r="289" spans="1:8" s="226" customFormat="1" ht="9.75" customHeight="1">
      <c r="A289" s="232"/>
      <c r="H289" s="231"/>
    </row>
    <row r="290" spans="1:8" s="226" customFormat="1" ht="9.75" customHeight="1">
      <c r="A290" s="232"/>
      <c r="H290" s="231"/>
    </row>
    <row r="291" spans="1:8" s="226" customFormat="1" ht="9.75" customHeight="1">
      <c r="A291" s="232"/>
      <c r="H291" s="231"/>
    </row>
    <row r="292" spans="1:8" s="226" customFormat="1" ht="9.75" customHeight="1">
      <c r="A292" s="232"/>
      <c r="H292" s="231"/>
    </row>
    <row r="293" spans="1:8" s="226" customFormat="1" ht="9.75" customHeight="1">
      <c r="A293" s="232"/>
      <c r="H293" s="231"/>
    </row>
    <row r="294" spans="1:8" s="226" customFormat="1" ht="9.75" customHeight="1">
      <c r="A294" s="232"/>
      <c r="H294" s="231"/>
    </row>
    <row r="295" spans="1:8" s="226" customFormat="1" ht="9.75" customHeight="1">
      <c r="A295" s="232"/>
      <c r="H295" s="231"/>
    </row>
    <row r="296" spans="1:8" s="226" customFormat="1" ht="9.75" customHeight="1">
      <c r="A296" s="232"/>
      <c r="H296" s="231"/>
    </row>
    <row r="297" spans="1:8" s="226" customFormat="1" ht="9.75" customHeight="1">
      <c r="A297" s="232"/>
      <c r="H297" s="231"/>
    </row>
    <row r="298" spans="1:8" s="226" customFormat="1" ht="9.75" customHeight="1">
      <c r="A298" s="232"/>
      <c r="H298" s="231"/>
    </row>
    <row r="299" spans="1:8" s="226" customFormat="1" ht="9.75" customHeight="1">
      <c r="A299" s="232"/>
      <c r="H299" s="231"/>
    </row>
    <row r="300" spans="1:8" s="226" customFormat="1" ht="9.75" customHeight="1">
      <c r="A300" s="232"/>
      <c r="H300" s="231"/>
    </row>
    <row r="301" spans="1:8" s="226" customFormat="1" ht="9.75" customHeight="1">
      <c r="A301" s="232"/>
      <c r="H301" s="231"/>
    </row>
    <row r="302" spans="1:8" s="226" customFormat="1" ht="9.75" customHeight="1">
      <c r="A302" s="232"/>
      <c r="H302" s="231"/>
    </row>
    <row r="303" spans="1:8" s="226" customFormat="1" ht="9.75" customHeight="1">
      <c r="A303" s="232"/>
      <c r="H303" s="231"/>
    </row>
    <row r="304" spans="1:8" s="226" customFormat="1" ht="9.75" customHeight="1">
      <c r="A304" s="232"/>
      <c r="H304" s="231"/>
    </row>
    <row r="305" spans="1:8" s="226" customFormat="1" ht="9.75" customHeight="1">
      <c r="A305" s="232"/>
      <c r="H305" s="231"/>
    </row>
    <row r="306" spans="1:8" s="226" customFormat="1" ht="9.75" customHeight="1">
      <c r="A306" s="232"/>
      <c r="H306" s="231"/>
    </row>
    <row r="307" spans="1:8" s="226" customFormat="1" ht="9.75" customHeight="1">
      <c r="A307" s="232"/>
      <c r="H307" s="231"/>
    </row>
    <row r="308" spans="1:8" s="226" customFormat="1" ht="9.75" customHeight="1">
      <c r="A308" s="232"/>
      <c r="H308" s="231"/>
    </row>
    <row r="309" spans="1:8" s="226" customFormat="1" ht="9.75" customHeight="1">
      <c r="A309" s="232"/>
      <c r="H309" s="231"/>
    </row>
    <row r="310" spans="1:8" s="226" customFormat="1" ht="9.75" customHeight="1">
      <c r="A310" s="232"/>
      <c r="H310" s="231"/>
    </row>
    <row r="311" spans="1:8" s="226" customFormat="1" ht="9.75" customHeight="1">
      <c r="A311" s="232"/>
      <c r="H311" s="231"/>
    </row>
    <row r="312" spans="1:8" s="226" customFormat="1" ht="9.75" customHeight="1">
      <c r="A312" s="232"/>
      <c r="H312" s="231"/>
    </row>
    <row r="313" spans="1:8" s="226" customFormat="1" ht="9.75" customHeight="1">
      <c r="A313" s="232"/>
      <c r="H313" s="231"/>
    </row>
    <row r="314" spans="1:8" s="226" customFormat="1" ht="9.75" customHeight="1">
      <c r="A314" s="232"/>
      <c r="H314" s="231"/>
    </row>
    <row r="315" spans="1:8" s="226" customFormat="1" ht="9.75" customHeight="1">
      <c r="A315" s="232"/>
      <c r="H315" s="231"/>
    </row>
    <row r="316" spans="1:8" s="226" customFormat="1" ht="9.75" customHeight="1">
      <c r="A316" s="232"/>
      <c r="H316" s="231"/>
    </row>
    <row r="317" spans="1:8" s="226" customFormat="1" ht="9.75" customHeight="1">
      <c r="A317" s="232"/>
      <c r="H317" s="231"/>
    </row>
    <row r="318" spans="1:8" s="226" customFormat="1" ht="9.75" customHeight="1">
      <c r="A318" s="232"/>
      <c r="H318" s="231"/>
    </row>
    <row r="319" spans="1:8" s="226" customFormat="1" ht="9.75" customHeight="1">
      <c r="A319" s="232"/>
      <c r="H319" s="231"/>
    </row>
    <row r="320" spans="1:8" s="226" customFormat="1" ht="9.75" customHeight="1">
      <c r="A320" s="232"/>
      <c r="H320" s="231"/>
    </row>
    <row r="321" spans="1:8" s="226" customFormat="1" ht="9.75" customHeight="1">
      <c r="A321" s="232"/>
      <c r="H321" s="231"/>
    </row>
    <row r="322" spans="1:8" s="226" customFormat="1" ht="9.75" customHeight="1">
      <c r="A322" s="232"/>
      <c r="H322" s="231"/>
    </row>
    <row r="323" spans="1:8" s="226" customFormat="1" ht="9.75" customHeight="1">
      <c r="A323" s="232"/>
      <c r="H323" s="231"/>
    </row>
    <row r="324" spans="1:8" s="226" customFormat="1" ht="9.75" customHeight="1">
      <c r="A324" s="232"/>
      <c r="H324" s="231"/>
    </row>
    <row r="325" spans="1:8" s="226" customFormat="1" ht="9.75" customHeight="1">
      <c r="A325" s="232"/>
      <c r="H325" s="231"/>
    </row>
    <row r="326" spans="1:8" s="226" customFormat="1" ht="9.75" customHeight="1">
      <c r="A326" s="232"/>
      <c r="H326" s="231"/>
    </row>
    <row r="327" spans="1:8" s="226" customFormat="1" ht="9.75" customHeight="1">
      <c r="A327" s="232"/>
      <c r="H327" s="231"/>
    </row>
    <row r="328" spans="1:8" s="226" customFormat="1" ht="9.75" customHeight="1">
      <c r="A328" s="232"/>
      <c r="H328" s="231"/>
    </row>
    <row r="329" spans="1:8" s="226" customFormat="1" ht="9.75" customHeight="1">
      <c r="A329" s="232"/>
      <c r="H329" s="231"/>
    </row>
    <row r="330" spans="1:8" s="226" customFormat="1" ht="9.75" customHeight="1">
      <c r="A330" s="232"/>
      <c r="H330" s="231"/>
    </row>
    <row r="331" spans="1:8" s="226" customFormat="1" ht="9.75" customHeight="1">
      <c r="A331" s="232"/>
      <c r="H331" s="231"/>
    </row>
    <row r="332" spans="1:8" s="226" customFormat="1" ht="9.75" customHeight="1">
      <c r="A332" s="232"/>
      <c r="H332" s="231"/>
    </row>
    <row r="333" spans="1:8" s="226" customFormat="1" ht="9.75" customHeight="1">
      <c r="A333" s="232"/>
      <c r="H333" s="231"/>
    </row>
    <row r="334" spans="1:8" s="226" customFormat="1" ht="9.75" customHeight="1">
      <c r="A334" s="232"/>
      <c r="H334" s="231"/>
    </row>
    <row r="335" spans="1:8" s="226" customFormat="1" ht="9.75" customHeight="1">
      <c r="A335" s="232"/>
      <c r="H335" s="231"/>
    </row>
    <row r="336" spans="1:8" s="226" customFormat="1" ht="9.75" customHeight="1">
      <c r="A336" s="232"/>
      <c r="H336" s="231"/>
    </row>
    <row r="337" spans="1:8" s="226" customFormat="1" ht="9.75" customHeight="1">
      <c r="A337" s="232"/>
      <c r="H337" s="231"/>
    </row>
    <row r="338" spans="1:8" s="226" customFormat="1" ht="9.75" customHeight="1">
      <c r="A338" s="232"/>
      <c r="H338" s="231"/>
    </row>
    <row r="339" spans="1:8" s="226" customFormat="1" ht="9.75" customHeight="1">
      <c r="A339" s="232"/>
      <c r="H339" s="231"/>
    </row>
    <row r="340" spans="1:8" s="226" customFormat="1" ht="9.75" customHeight="1">
      <c r="A340" s="232"/>
      <c r="H340" s="231"/>
    </row>
    <row r="341" spans="1:8" s="226" customFormat="1" ht="9.75" customHeight="1">
      <c r="A341" s="232"/>
      <c r="H341" s="231"/>
    </row>
    <row r="342" spans="1:8" s="226" customFormat="1" ht="9.75" customHeight="1">
      <c r="A342" s="232"/>
      <c r="H342" s="231"/>
    </row>
    <row r="343" spans="1:8" s="226" customFormat="1" ht="9.75" customHeight="1">
      <c r="A343" s="232"/>
      <c r="H343" s="231"/>
    </row>
    <row r="344" spans="1:8" s="226" customFormat="1" ht="9.75" customHeight="1">
      <c r="A344" s="232"/>
      <c r="H344" s="231"/>
    </row>
    <row r="345" spans="1:8" s="226" customFormat="1" ht="9.75" customHeight="1">
      <c r="A345" s="232"/>
      <c r="H345" s="231"/>
    </row>
    <row r="346" spans="1:8" s="226" customFormat="1" ht="9.75" customHeight="1">
      <c r="A346" s="232"/>
      <c r="H346" s="231"/>
    </row>
    <row r="347" spans="1:8" s="226" customFormat="1" ht="9.75" customHeight="1">
      <c r="A347" s="232"/>
      <c r="H347" s="231"/>
    </row>
    <row r="348" spans="1:8" s="226" customFormat="1" ht="9.75" customHeight="1">
      <c r="A348" s="232"/>
      <c r="H348" s="231"/>
    </row>
    <row r="349" spans="1:8" s="226" customFormat="1" ht="9.75" customHeight="1">
      <c r="A349" s="232"/>
      <c r="H349" s="231"/>
    </row>
    <row r="350" spans="1:8" s="226" customFormat="1" ht="9.75" customHeight="1">
      <c r="A350" s="232"/>
      <c r="H350" s="231"/>
    </row>
    <row r="351" spans="1:8" s="226" customFormat="1" ht="9.75" customHeight="1">
      <c r="A351" s="232"/>
      <c r="H351" s="231"/>
    </row>
    <row r="352" spans="1:8" s="226" customFormat="1" ht="9.75" customHeight="1">
      <c r="A352" s="232"/>
      <c r="H352" s="231"/>
    </row>
    <row r="353" spans="1:8" s="226" customFormat="1" ht="9.75" customHeight="1">
      <c r="A353" s="232"/>
      <c r="H353" s="231"/>
    </row>
    <row r="354" spans="1:8" s="226" customFormat="1" ht="9.75" customHeight="1">
      <c r="A354" s="232"/>
      <c r="H354" s="231"/>
    </row>
    <row r="355" spans="1:8" s="226" customFormat="1" ht="9.75" customHeight="1">
      <c r="A355" s="232"/>
      <c r="H355" s="231"/>
    </row>
    <row r="356" spans="1:8" s="226" customFormat="1" ht="9.75" customHeight="1">
      <c r="A356" s="232"/>
      <c r="H356" s="231"/>
    </row>
    <row r="357" spans="1:8" s="226" customFormat="1" ht="9.75" customHeight="1">
      <c r="A357" s="232"/>
      <c r="H357" s="231"/>
    </row>
    <row r="358" spans="1:8" s="226" customFormat="1" ht="9.75" customHeight="1">
      <c r="A358" s="232"/>
      <c r="H358" s="231"/>
    </row>
    <row r="359" spans="1:8" s="226" customFormat="1" ht="9.75" customHeight="1">
      <c r="A359" s="232"/>
      <c r="H359" s="231"/>
    </row>
    <row r="360" spans="1:8" s="226" customFormat="1" ht="9.75" customHeight="1">
      <c r="A360" s="232"/>
      <c r="H360" s="231"/>
    </row>
    <row r="361" spans="1:8" s="226" customFormat="1" ht="9.75" customHeight="1">
      <c r="A361" s="232"/>
      <c r="H361" s="231"/>
    </row>
    <row r="362" spans="1:8" s="226" customFormat="1" ht="9.75" customHeight="1">
      <c r="A362" s="232"/>
      <c r="H362" s="231"/>
    </row>
    <row r="363" spans="1:8" s="226" customFormat="1" ht="9.75" customHeight="1">
      <c r="A363" s="232"/>
      <c r="H363" s="231"/>
    </row>
    <row r="364" spans="1:8" s="226" customFormat="1" ht="9.75" customHeight="1">
      <c r="A364" s="232"/>
      <c r="H364" s="231"/>
    </row>
    <row r="365" spans="1:8" s="226" customFormat="1" ht="9.75" customHeight="1">
      <c r="A365" s="232"/>
      <c r="H365" s="231"/>
    </row>
    <row r="366" spans="1:8" s="226" customFormat="1" ht="9.75" customHeight="1">
      <c r="A366" s="232"/>
      <c r="H366" s="231"/>
    </row>
    <row r="367" spans="1:8" s="226" customFormat="1" ht="9.75" customHeight="1">
      <c r="A367" s="232"/>
      <c r="H367" s="231"/>
    </row>
    <row r="368" spans="1:8" s="226" customFormat="1" ht="9.75" customHeight="1">
      <c r="A368" s="232"/>
      <c r="H368" s="231"/>
    </row>
    <row r="369" spans="1:8" s="226" customFormat="1" ht="9.75" customHeight="1">
      <c r="A369" s="232"/>
      <c r="H369" s="231"/>
    </row>
    <row r="370" spans="1:8" s="226" customFormat="1" ht="9.75" customHeight="1">
      <c r="A370" s="232"/>
      <c r="H370" s="231"/>
    </row>
    <row r="371" spans="1:8" s="226" customFormat="1" ht="9.75" customHeight="1">
      <c r="A371" s="232"/>
      <c r="H371" s="231"/>
    </row>
    <row r="372" spans="1:8" s="226" customFormat="1" ht="9.75" customHeight="1">
      <c r="A372" s="232"/>
      <c r="H372" s="231"/>
    </row>
    <row r="373" spans="1:8" s="226" customFormat="1" ht="9.75" customHeight="1">
      <c r="A373" s="232"/>
      <c r="H373" s="231"/>
    </row>
    <row r="374" spans="1:8" s="226" customFormat="1" ht="9.75" customHeight="1">
      <c r="A374" s="232"/>
      <c r="H374" s="231"/>
    </row>
    <row r="375" spans="1:8" s="226" customFormat="1" ht="9.75" customHeight="1">
      <c r="A375" s="232"/>
      <c r="H375" s="231"/>
    </row>
    <row r="376" spans="1:8" s="226" customFormat="1" ht="9.75" customHeight="1">
      <c r="A376" s="232"/>
      <c r="H376" s="231"/>
    </row>
    <row r="377" spans="1:8" s="226" customFormat="1" ht="9.75" customHeight="1">
      <c r="A377" s="232"/>
      <c r="H377" s="231"/>
    </row>
    <row r="378" spans="1:8" s="226" customFormat="1" ht="9.75" customHeight="1">
      <c r="A378" s="232"/>
      <c r="H378" s="231"/>
    </row>
    <row r="379" spans="1:8" s="226" customFormat="1" ht="9.75" customHeight="1">
      <c r="A379" s="232"/>
      <c r="H379" s="231"/>
    </row>
    <row r="380" spans="1:8" s="226" customFormat="1" ht="9.75" customHeight="1">
      <c r="A380" s="232"/>
      <c r="H380" s="231"/>
    </row>
    <row r="381" spans="1:8" s="226" customFormat="1" ht="9.75" customHeight="1">
      <c r="A381" s="232"/>
      <c r="H381" s="231"/>
    </row>
    <row r="382" spans="1:8" s="226" customFormat="1" ht="9.75" customHeight="1">
      <c r="A382" s="232"/>
      <c r="H382" s="231"/>
    </row>
    <row r="383" spans="1:8" s="226" customFormat="1" ht="9.75" customHeight="1">
      <c r="A383" s="232"/>
      <c r="H383" s="231"/>
    </row>
    <row r="384" spans="1:8" s="226" customFormat="1" ht="9.75" customHeight="1">
      <c r="A384" s="232"/>
      <c r="H384" s="231"/>
    </row>
    <row r="385" spans="1:8" s="226" customFormat="1" ht="9.75" customHeight="1">
      <c r="A385" s="232"/>
      <c r="H385" s="231"/>
    </row>
    <row r="386" spans="1:8" s="226" customFormat="1" ht="9.75" customHeight="1">
      <c r="A386" s="232"/>
      <c r="H386" s="231"/>
    </row>
    <row r="387" spans="1:8" s="226" customFormat="1" ht="9.75" customHeight="1">
      <c r="A387" s="232"/>
      <c r="H387" s="231"/>
    </row>
    <row r="388" spans="1:8" s="226" customFormat="1" ht="9.75" customHeight="1">
      <c r="A388" s="232"/>
      <c r="H388" s="231"/>
    </row>
    <row r="389" spans="1:8" s="226" customFormat="1" ht="9.75" customHeight="1">
      <c r="A389" s="232"/>
      <c r="H389" s="231"/>
    </row>
    <row r="390" spans="1:8" s="226" customFormat="1" ht="9.75" customHeight="1">
      <c r="A390" s="232"/>
      <c r="H390" s="231"/>
    </row>
    <row r="391" spans="1:8" s="226" customFormat="1" ht="9.75" customHeight="1">
      <c r="A391" s="232"/>
      <c r="H391" s="231"/>
    </row>
    <row r="392" spans="1:8" s="226" customFormat="1" ht="9.75" customHeight="1">
      <c r="A392" s="232"/>
      <c r="H392" s="231"/>
    </row>
    <row r="393" spans="1:8" s="226" customFormat="1" ht="9.75" customHeight="1">
      <c r="A393" s="232"/>
      <c r="H393" s="231"/>
    </row>
    <row r="394" spans="1:8" s="226" customFormat="1" ht="9.75" customHeight="1">
      <c r="A394" s="232"/>
      <c r="H394" s="231"/>
    </row>
    <row r="395" spans="1:8" s="226" customFormat="1" ht="9.75" customHeight="1">
      <c r="A395" s="232"/>
      <c r="H395" s="231"/>
    </row>
    <row r="396" spans="1:8" s="226" customFormat="1" ht="9.75" customHeight="1">
      <c r="A396" s="232"/>
      <c r="H396" s="231"/>
    </row>
    <row r="397" spans="1:8" s="226" customFormat="1" ht="9.75" customHeight="1">
      <c r="A397" s="232"/>
      <c r="H397" s="231"/>
    </row>
    <row r="398" spans="1:8" s="226" customFormat="1" ht="9.75" customHeight="1">
      <c r="A398" s="232"/>
      <c r="H398" s="231"/>
    </row>
    <row r="399" spans="1:8" s="226" customFormat="1" ht="9.75" customHeight="1">
      <c r="A399" s="232"/>
      <c r="H399" s="231"/>
    </row>
    <row r="400" spans="1:8" s="226" customFormat="1" ht="9.75" customHeight="1">
      <c r="A400" s="232"/>
      <c r="H400" s="231"/>
    </row>
    <row r="401" spans="1:8" s="226" customFormat="1" ht="9.75" customHeight="1">
      <c r="A401" s="232"/>
      <c r="H401" s="231"/>
    </row>
    <row r="402" spans="1:8" s="226" customFormat="1" ht="9.75" customHeight="1">
      <c r="A402" s="232"/>
      <c r="H402" s="231"/>
    </row>
    <row r="403" spans="1:8" s="226" customFormat="1" ht="9.75" customHeight="1">
      <c r="A403" s="232"/>
      <c r="H403" s="231"/>
    </row>
    <row r="404" spans="1:8" s="226" customFormat="1" ht="9.75" customHeight="1">
      <c r="A404" s="232"/>
      <c r="H404" s="231"/>
    </row>
    <row r="405" spans="1:8" s="226" customFormat="1" ht="9.75" customHeight="1">
      <c r="A405" s="232"/>
      <c r="H405" s="231"/>
    </row>
    <row r="406" spans="1:8" s="226" customFormat="1" ht="9.75" customHeight="1">
      <c r="A406" s="232"/>
      <c r="H406" s="231"/>
    </row>
    <row r="407" spans="1:8" s="226" customFormat="1" ht="9.75" customHeight="1">
      <c r="A407" s="232"/>
      <c r="H407" s="231"/>
    </row>
    <row r="408" spans="1:8" s="226" customFormat="1" ht="9.75" customHeight="1">
      <c r="A408" s="232"/>
      <c r="H408" s="231"/>
    </row>
    <row r="409" spans="1:8" s="226" customFormat="1" ht="9.75" customHeight="1">
      <c r="A409" s="232"/>
      <c r="H409" s="231"/>
    </row>
    <row r="410" spans="1:8" s="226" customFormat="1" ht="9.75" customHeight="1">
      <c r="A410" s="232"/>
      <c r="H410" s="231"/>
    </row>
    <row r="411" spans="1:8" s="226" customFormat="1" ht="9.75" customHeight="1">
      <c r="A411" s="232"/>
      <c r="H411" s="231"/>
    </row>
    <row r="412" spans="1:8" s="226" customFormat="1" ht="9.75" customHeight="1">
      <c r="A412" s="232"/>
      <c r="H412" s="231"/>
    </row>
    <row r="413" spans="1:8" s="226" customFormat="1" ht="9.75" customHeight="1">
      <c r="A413" s="232"/>
      <c r="H413" s="231"/>
    </row>
    <row r="414" spans="1:8" s="226" customFormat="1" ht="9.75" customHeight="1">
      <c r="A414" s="232"/>
      <c r="H414" s="231"/>
    </row>
    <row r="415" spans="1:8" s="226" customFormat="1" ht="9.75" customHeight="1">
      <c r="A415" s="232"/>
      <c r="H415" s="231"/>
    </row>
    <row r="416" spans="1:8" s="226" customFormat="1" ht="9.75" customHeight="1">
      <c r="A416" s="232"/>
      <c r="H416" s="231"/>
    </row>
    <row r="417" spans="1:8" s="226" customFormat="1" ht="9.75" customHeight="1">
      <c r="A417" s="232"/>
      <c r="H417" s="231"/>
    </row>
    <row r="418" spans="1:8" s="226" customFormat="1" ht="9.75" customHeight="1">
      <c r="A418" s="232"/>
      <c r="H418" s="231"/>
    </row>
    <row r="419" spans="1:8" s="226" customFormat="1" ht="9.75" customHeight="1">
      <c r="A419" s="232"/>
      <c r="H419" s="231"/>
    </row>
    <row r="420" spans="1:8" s="226" customFormat="1" ht="9.75" customHeight="1">
      <c r="A420" s="232"/>
      <c r="H420" s="231"/>
    </row>
    <row r="421" spans="1:8" s="226" customFormat="1" ht="9.75" customHeight="1">
      <c r="A421" s="232"/>
      <c r="H421" s="231"/>
    </row>
    <row r="422" spans="1:8" s="226" customFormat="1" ht="9.75" customHeight="1">
      <c r="A422" s="232"/>
      <c r="H422" s="231"/>
    </row>
    <row r="423" spans="1:8" s="226" customFormat="1" ht="9.75" customHeight="1">
      <c r="A423" s="232"/>
      <c r="H423" s="231"/>
    </row>
    <row r="424" spans="1:8" s="226" customFormat="1" ht="9.75" customHeight="1">
      <c r="A424" s="232"/>
      <c r="H424" s="231"/>
    </row>
    <row r="425" spans="1:8" s="226" customFormat="1" ht="9.75" customHeight="1">
      <c r="A425" s="232"/>
      <c r="H425" s="231"/>
    </row>
    <row r="426" spans="1:8" s="226" customFormat="1" ht="9.75" customHeight="1">
      <c r="A426" s="232"/>
      <c r="H426" s="231"/>
    </row>
    <row r="427" spans="1:8" s="226" customFormat="1" ht="9.75" customHeight="1">
      <c r="A427" s="232"/>
      <c r="H427" s="231"/>
    </row>
    <row r="428" spans="1:8" s="226" customFormat="1" ht="9.75" customHeight="1">
      <c r="A428" s="232"/>
      <c r="H428" s="231"/>
    </row>
    <row r="429" spans="1:8" s="226" customFormat="1" ht="9.75" customHeight="1">
      <c r="A429" s="232"/>
      <c r="H429" s="231"/>
    </row>
    <row r="430" spans="1:8" s="226" customFormat="1" ht="9.75" customHeight="1">
      <c r="A430" s="232"/>
      <c r="H430" s="231"/>
    </row>
    <row r="431" spans="1:8" s="226" customFormat="1" ht="9.75" customHeight="1">
      <c r="A431" s="232"/>
      <c r="H431" s="231"/>
    </row>
    <row r="432" spans="1:8" s="226" customFormat="1" ht="9.75" customHeight="1">
      <c r="A432" s="232"/>
      <c r="H432" s="231"/>
    </row>
    <row r="433" spans="1:8" s="226" customFormat="1" ht="9.75" customHeight="1">
      <c r="A433" s="232"/>
      <c r="H433" s="231"/>
    </row>
    <row r="434" spans="1:8" s="226" customFormat="1" ht="9.75" customHeight="1">
      <c r="A434" s="232"/>
      <c r="H434" s="231"/>
    </row>
    <row r="435" spans="1:8" s="226" customFormat="1" ht="9.75" customHeight="1">
      <c r="A435" s="232"/>
      <c r="H435" s="231"/>
    </row>
    <row r="436" spans="1:8" s="226" customFormat="1" ht="9.75" customHeight="1">
      <c r="A436" s="232"/>
      <c r="H436" s="231"/>
    </row>
    <row r="437" spans="1:8" s="226" customFormat="1" ht="9.75" customHeight="1">
      <c r="A437" s="232"/>
      <c r="H437" s="231"/>
    </row>
    <row r="438" spans="1:8" s="226" customFormat="1" ht="9.75" customHeight="1">
      <c r="A438" s="232"/>
      <c r="H438" s="231"/>
    </row>
    <row r="439" spans="1:8" s="226" customFormat="1" ht="9.75" customHeight="1">
      <c r="A439" s="232"/>
      <c r="H439" s="231"/>
    </row>
    <row r="440" spans="1:8" s="226" customFormat="1" ht="9.75" customHeight="1">
      <c r="A440" s="232"/>
      <c r="H440" s="231"/>
    </row>
    <row r="441" spans="1:8" s="226" customFormat="1" ht="9.75" customHeight="1">
      <c r="A441" s="232"/>
      <c r="H441" s="231"/>
    </row>
    <row r="442" spans="1:8" s="226" customFormat="1" ht="9.75" customHeight="1">
      <c r="A442" s="232"/>
      <c r="H442" s="231"/>
    </row>
    <row r="443" spans="1:8" s="226" customFormat="1" ht="9.75" customHeight="1">
      <c r="A443" s="232"/>
      <c r="H443" s="231"/>
    </row>
    <row r="444" spans="1:8" s="226" customFormat="1" ht="9.75" customHeight="1">
      <c r="A444" s="232"/>
      <c r="H444" s="231"/>
    </row>
    <row r="445" spans="1:8" s="226" customFormat="1" ht="9.75" customHeight="1">
      <c r="A445" s="232"/>
      <c r="H445" s="231"/>
    </row>
    <row r="446" spans="1:8" s="226" customFormat="1" ht="9.75" customHeight="1">
      <c r="A446" s="232"/>
      <c r="H446" s="231"/>
    </row>
    <row r="447" spans="1:8" s="226" customFormat="1" ht="9.75" customHeight="1">
      <c r="A447" s="232"/>
      <c r="H447" s="231"/>
    </row>
    <row r="448" spans="1:8" s="226" customFormat="1" ht="9.75" customHeight="1">
      <c r="A448" s="232"/>
      <c r="H448" s="231"/>
    </row>
    <row r="449" spans="1:8" s="226" customFormat="1" ht="9.75" customHeight="1">
      <c r="A449" s="232"/>
      <c r="H449" s="231"/>
    </row>
    <row r="450" spans="1:8" s="226" customFormat="1" ht="9.75" customHeight="1">
      <c r="A450" s="232"/>
      <c r="H450" s="231"/>
    </row>
    <row r="451" spans="1:8" s="226" customFormat="1" ht="9.75" customHeight="1">
      <c r="A451" s="232"/>
      <c r="H451" s="231"/>
    </row>
    <row r="452" spans="1:8" s="226" customFormat="1" ht="9.75" customHeight="1">
      <c r="A452" s="232"/>
      <c r="H452" s="231"/>
    </row>
    <row r="453" spans="1:8" s="226" customFormat="1" ht="9.75" customHeight="1">
      <c r="A453" s="232"/>
      <c r="H453" s="231"/>
    </row>
    <row r="454" spans="1:8" s="226" customFormat="1" ht="9.75" customHeight="1">
      <c r="A454" s="232"/>
      <c r="H454" s="231"/>
    </row>
    <row r="455" spans="1:8" s="226" customFormat="1" ht="9.75" customHeight="1">
      <c r="A455" s="232"/>
      <c r="H455" s="231"/>
    </row>
    <row r="456" spans="1:8" s="226" customFormat="1" ht="9.75" customHeight="1">
      <c r="A456" s="232"/>
      <c r="H456" s="231"/>
    </row>
    <row r="457" spans="1:8" s="226" customFormat="1" ht="9.75" customHeight="1">
      <c r="A457" s="232"/>
      <c r="H457" s="231"/>
    </row>
    <row r="458" spans="1:8" s="226" customFormat="1" ht="9.75" customHeight="1">
      <c r="A458" s="232"/>
      <c r="H458" s="231"/>
    </row>
    <row r="459" spans="1:8" s="226" customFormat="1" ht="9.75" customHeight="1">
      <c r="A459" s="232"/>
      <c r="H459" s="231"/>
    </row>
    <row r="460" spans="1:8" s="226" customFormat="1" ht="9.75" customHeight="1">
      <c r="A460" s="232"/>
      <c r="H460" s="231"/>
    </row>
    <row r="461" spans="1:8" s="226" customFormat="1" ht="9.75" customHeight="1">
      <c r="A461" s="232"/>
      <c r="H461" s="231"/>
    </row>
    <row r="462" spans="1:8" s="226" customFormat="1" ht="9.75" customHeight="1">
      <c r="A462" s="232"/>
      <c r="H462" s="231"/>
    </row>
    <row r="463" spans="1:8" s="226" customFormat="1" ht="9.75" customHeight="1">
      <c r="A463" s="232"/>
      <c r="H463" s="231"/>
    </row>
    <row r="464" spans="1:8" s="226" customFormat="1" ht="9.75" customHeight="1">
      <c r="A464" s="232"/>
      <c r="H464" s="231"/>
    </row>
    <row r="465" spans="1:8" s="226" customFormat="1" ht="9.75" customHeight="1">
      <c r="A465" s="232"/>
      <c r="H465" s="231"/>
    </row>
    <row r="466" spans="1:8" s="226" customFormat="1" ht="9.75" customHeight="1">
      <c r="A466" s="232"/>
      <c r="H466" s="231"/>
    </row>
    <row r="467" spans="1:8" s="226" customFormat="1" ht="9.75" customHeight="1">
      <c r="A467" s="232"/>
      <c r="H467" s="231"/>
    </row>
    <row r="468" spans="1:8" s="226" customFormat="1" ht="9.75" customHeight="1">
      <c r="A468" s="232"/>
      <c r="H468" s="231"/>
    </row>
    <row r="469" spans="1:8" s="226" customFormat="1" ht="9.75" customHeight="1">
      <c r="A469" s="232"/>
      <c r="H469" s="231"/>
    </row>
    <row r="470" spans="1:8" s="226" customFormat="1" ht="9.75" customHeight="1">
      <c r="A470" s="232"/>
      <c r="H470" s="231"/>
    </row>
    <row r="471" spans="1:8" s="226" customFormat="1" ht="9.75" customHeight="1">
      <c r="A471" s="232"/>
      <c r="H471" s="231"/>
    </row>
    <row r="472" spans="1:8" s="226" customFormat="1" ht="9.75" customHeight="1">
      <c r="A472" s="232"/>
      <c r="H472" s="231"/>
    </row>
    <row r="473" spans="1:8" s="226" customFormat="1" ht="9.75" customHeight="1">
      <c r="A473" s="232"/>
      <c r="H473" s="231"/>
    </row>
    <row r="474" spans="1:8" s="226" customFormat="1" ht="9.75" customHeight="1">
      <c r="A474" s="232"/>
      <c r="H474" s="231"/>
    </row>
    <row r="475" spans="1:8" s="226" customFormat="1" ht="9.75" customHeight="1">
      <c r="A475" s="232"/>
      <c r="H475" s="231"/>
    </row>
    <row r="476" spans="1:8" s="226" customFormat="1" ht="9.75" customHeight="1">
      <c r="A476" s="232"/>
      <c r="H476" s="231"/>
    </row>
    <row r="477" spans="1:8" s="226" customFormat="1" ht="9.75" customHeight="1">
      <c r="A477" s="232"/>
      <c r="H477" s="231"/>
    </row>
    <row r="478" spans="1:8" s="226" customFormat="1" ht="9.75" customHeight="1">
      <c r="A478" s="232"/>
      <c r="H478" s="231"/>
    </row>
    <row r="479" spans="1:8" s="226" customFormat="1" ht="9.75" customHeight="1">
      <c r="A479" s="232"/>
      <c r="H479" s="231"/>
    </row>
    <row r="480" spans="1:8" s="226" customFormat="1" ht="9.75" customHeight="1">
      <c r="A480" s="232"/>
      <c r="H480" s="231"/>
    </row>
    <row r="481" spans="1:8" s="226" customFormat="1" ht="9.75" customHeight="1">
      <c r="A481" s="232"/>
      <c r="H481" s="231"/>
    </row>
    <row r="482" spans="1:8" s="226" customFormat="1" ht="9.75" customHeight="1">
      <c r="A482" s="232"/>
      <c r="H482" s="231"/>
    </row>
    <row r="483" spans="1:8" s="226" customFormat="1" ht="9.75" customHeight="1">
      <c r="A483" s="232"/>
      <c r="H483" s="231"/>
    </row>
    <row r="484" spans="1:8" s="226" customFormat="1" ht="9.75" customHeight="1">
      <c r="A484" s="232"/>
      <c r="H484" s="231"/>
    </row>
    <row r="485" spans="1:8" s="226" customFormat="1" ht="9.75" customHeight="1">
      <c r="A485" s="232"/>
      <c r="H485" s="231"/>
    </row>
    <row r="486" spans="1:8" s="226" customFormat="1" ht="9.75" customHeight="1">
      <c r="A486" s="232"/>
      <c r="H486" s="231"/>
    </row>
    <row r="487" spans="1:8" s="226" customFormat="1" ht="9.75" customHeight="1">
      <c r="A487" s="232"/>
      <c r="H487" s="231"/>
    </row>
    <row r="488" spans="1:8" s="226" customFormat="1" ht="9.75" customHeight="1">
      <c r="A488" s="232"/>
      <c r="H488" s="231"/>
    </row>
    <row r="489" spans="1:8" s="226" customFormat="1" ht="9.75" customHeight="1">
      <c r="A489" s="232"/>
      <c r="H489" s="231"/>
    </row>
    <row r="490" spans="1:8" s="226" customFormat="1" ht="9.75" customHeight="1">
      <c r="A490" s="232"/>
      <c r="H490" s="231"/>
    </row>
    <row r="491" spans="1:8" s="226" customFormat="1" ht="9.75" customHeight="1">
      <c r="A491" s="232"/>
      <c r="H491" s="231"/>
    </row>
    <row r="492" spans="1:8" s="226" customFormat="1" ht="9.75" customHeight="1">
      <c r="A492" s="232"/>
      <c r="H492" s="231"/>
    </row>
    <row r="493" spans="1:8" s="226" customFormat="1" ht="9.75" customHeight="1">
      <c r="A493" s="232"/>
      <c r="H493" s="231"/>
    </row>
    <row r="494" spans="1:8" s="226" customFormat="1" ht="9.75" customHeight="1">
      <c r="A494" s="232"/>
      <c r="H494" s="231"/>
    </row>
    <row r="495" spans="1:8" s="226" customFormat="1" ht="9.75" customHeight="1">
      <c r="A495" s="232"/>
      <c r="H495" s="231"/>
    </row>
    <row r="496" spans="1:8" s="226" customFormat="1" ht="9.75" customHeight="1">
      <c r="A496" s="232"/>
      <c r="H496" s="231"/>
    </row>
    <row r="497" spans="1:8" s="226" customFormat="1" ht="9.75" customHeight="1">
      <c r="A497" s="232"/>
      <c r="H497" s="231"/>
    </row>
    <row r="498" spans="1:8" s="226" customFormat="1" ht="9.75" customHeight="1">
      <c r="A498" s="232"/>
      <c r="H498" s="231"/>
    </row>
    <row r="499" spans="1:8" s="226" customFormat="1" ht="9.75" customHeight="1">
      <c r="A499" s="232"/>
      <c r="H499" s="231"/>
    </row>
    <row r="500" spans="1:8" s="226" customFormat="1" ht="9.75" customHeight="1">
      <c r="A500" s="232"/>
      <c r="H500" s="231"/>
    </row>
    <row r="501" spans="1:8" s="226" customFormat="1" ht="9.75" customHeight="1">
      <c r="A501" s="232"/>
      <c r="H501" s="231"/>
    </row>
    <row r="502" spans="1:8" s="226" customFormat="1" ht="9.75" customHeight="1">
      <c r="A502" s="232"/>
      <c r="H502" s="231"/>
    </row>
    <row r="503" spans="1:8" s="226" customFormat="1" ht="9.75" customHeight="1">
      <c r="A503" s="232"/>
      <c r="H503" s="231"/>
    </row>
    <row r="504" spans="1:8" s="226" customFormat="1" ht="9.75" customHeight="1">
      <c r="A504" s="232"/>
      <c r="H504" s="231"/>
    </row>
    <row r="505" spans="1:8" s="226" customFormat="1" ht="9.75" customHeight="1">
      <c r="A505" s="232"/>
      <c r="H505" s="231"/>
    </row>
    <row r="506" spans="1:8" s="226" customFormat="1" ht="9.75" customHeight="1">
      <c r="A506" s="232"/>
      <c r="H506" s="231"/>
    </row>
    <row r="507" spans="1:8" s="226" customFormat="1" ht="9.75" customHeight="1">
      <c r="A507" s="232"/>
      <c r="H507" s="231"/>
    </row>
    <row r="508" spans="1:8" s="226" customFormat="1" ht="9.75" customHeight="1">
      <c r="A508" s="232"/>
      <c r="H508" s="231"/>
    </row>
    <row r="509" spans="1:8" s="226" customFormat="1" ht="9.75" customHeight="1">
      <c r="A509" s="232"/>
      <c r="H509" s="231"/>
    </row>
    <row r="510" spans="1:8" s="226" customFormat="1" ht="9.75" customHeight="1">
      <c r="A510" s="232"/>
      <c r="H510" s="231"/>
    </row>
    <row r="511" spans="1:8" s="226" customFormat="1" ht="9.75" customHeight="1">
      <c r="A511" s="232"/>
      <c r="H511" s="231"/>
    </row>
    <row r="512" spans="1:8" s="226" customFormat="1" ht="9.75" customHeight="1">
      <c r="A512" s="232"/>
      <c r="H512" s="231"/>
    </row>
    <row r="513" spans="1:8" s="226" customFormat="1" ht="9.75" customHeight="1">
      <c r="A513" s="232"/>
      <c r="H513" s="231"/>
    </row>
    <row r="514" spans="1:8" s="226" customFormat="1" ht="9.75" customHeight="1">
      <c r="A514" s="232"/>
      <c r="H514" s="231"/>
    </row>
    <row r="515" spans="1:8" s="226" customFormat="1" ht="9.75" customHeight="1">
      <c r="A515" s="232"/>
      <c r="H515" s="231"/>
    </row>
    <row r="516" spans="1:8" s="226" customFormat="1" ht="9.75" customHeight="1">
      <c r="A516" s="232"/>
      <c r="H516" s="231"/>
    </row>
    <row r="517" spans="1:8" s="226" customFormat="1" ht="9.75" customHeight="1">
      <c r="A517" s="232"/>
      <c r="H517" s="231"/>
    </row>
    <row r="518" spans="1:8" s="226" customFormat="1" ht="9.75" customHeight="1">
      <c r="A518" s="232"/>
      <c r="H518" s="231"/>
    </row>
    <row r="519" spans="1:8" s="226" customFormat="1" ht="9.75" customHeight="1">
      <c r="A519" s="232"/>
      <c r="H519" s="231"/>
    </row>
    <row r="520" spans="1:8" s="226" customFormat="1" ht="9.75" customHeight="1">
      <c r="A520" s="232"/>
      <c r="H520" s="231"/>
    </row>
    <row r="521" spans="1:8" s="226" customFormat="1" ht="9.75" customHeight="1">
      <c r="A521" s="232"/>
      <c r="H521" s="231"/>
    </row>
    <row r="522" spans="1:8" s="226" customFormat="1" ht="9.75" customHeight="1">
      <c r="A522" s="232"/>
      <c r="H522" s="231"/>
    </row>
    <row r="523" spans="1:8" s="226" customFormat="1" ht="9.75" customHeight="1">
      <c r="A523" s="232"/>
      <c r="H523" s="231"/>
    </row>
    <row r="524" spans="1:8" s="226" customFormat="1" ht="9.75" customHeight="1">
      <c r="A524" s="232"/>
      <c r="H524" s="231"/>
    </row>
    <row r="525" spans="1:8" s="226" customFormat="1" ht="9.75" customHeight="1">
      <c r="A525" s="232"/>
      <c r="H525" s="231"/>
    </row>
    <row r="526" spans="1:8" s="226" customFormat="1" ht="9.75" customHeight="1">
      <c r="A526" s="232"/>
      <c r="H526" s="231"/>
    </row>
    <row r="527" spans="1:8" s="226" customFormat="1" ht="9.75" customHeight="1">
      <c r="A527" s="232"/>
      <c r="H527" s="231"/>
    </row>
    <row r="528" spans="1:8" s="226" customFormat="1" ht="9.75" customHeight="1">
      <c r="A528" s="232"/>
      <c r="H528" s="231"/>
    </row>
    <row r="529" spans="1:8" s="226" customFormat="1" ht="9.75" customHeight="1">
      <c r="A529" s="232"/>
      <c r="H529" s="231"/>
    </row>
    <row r="530" spans="1:8" s="226" customFormat="1" ht="9.75" customHeight="1">
      <c r="A530" s="232"/>
      <c r="H530" s="231"/>
    </row>
    <row r="531" spans="1:8" s="226" customFormat="1" ht="9.75" customHeight="1">
      <c r="A531" s="232"/>
      <c r="H531" s="231"/>
    </row>
    <row r="532" spans="1:8" s="226" customFormat="1" ht="9.75" customHeight="1">
      <c r="A532" s="232"/>
      <c r="H532" s="231"/>
    </row>
    <row r="533" spans="1:8" s="226" customFormat="1" ht="9.75" customHeight="1">
      <c r="A533" s="232"/>
      <c r="H533" s="231"/>
    </row>
    <row r="534" spans="1:8" s="226" customFormat="1" ht="9.75" customHeight="1">
      <c r="A534" s="232"/>
      <c r="H534" s="231"/>
    </row>
    <row r="535" spans="1:8" s="226" customFormat="1" ht="9.75" customHeight="1">
      <c r="A535" s="232"/>
      <c r="H535" s="231"/>
    </row>
    <row r="536" spans="1:8" s="226" customFormat="1" ht="9.75" customHeight="1">
      <c r="A536" s="232"/>
      <c r="H536" s="231"/>
    </row>
    <row r="537" spans="1:8" s="226" customFormat="1" ht="9.75" customHeight="1">
      <c r="A537" s="232"/>
      <c r="H537" s="231"/>
    </row>
    <row r="538" spans="1:8" s="226" customFormat="1" ht="9.75" customHeight="1">
      <c r="A538" s="232"/>
      <c r="H538" s="231"/>
    </row>
    <row r="539" spans="1:8" s="226" customFormat="1" ht="9.75" customHeight="1">
      <c r="A539" s="232"/>
      <c r="H539" s="231"/>
    </row>
    <row r="540" spans="1:8" s="226" customFormat="1" ht="9.75" customHeight="1">
      <c r="A540" s="232"/>
      <c r="H540" s="231"/>
    </row>
    <row r="541" spans="1:8" s="226" customFormat="1" ht="9.75" customHeight="1">
      <c r="A541" s="232"/>
      <c r="H541" s="231"/>
    </row>
    <row r="542" spans="1:8" s="226" customFormat="1" ht="9.75" customHeight="1">
      <c r="A542" s="232"/>
      <c r="H542" s="231"/>
    </row>
    <row r="543" spans="1:8" s="226" customFormat="1" ht="9.75" customHeight="1">
      <c r="A543" s="232"/>
      <c r="H543" s="231"/>
    </row>
    <row r="544" spans="1:8" s="226" customFormat="1" ht="9.75" customHeight="1">
      <c r="A544" s="232"/>
      <c r="H544" s="231"/>
    </row>
    <row r="545" spans="1:8" s="226" customFormat="1" ht="9.75" customHeight="1">
      <c r="A545" s="232"/>
      <c r="H545" s="231"/>
    </row>
    <row r="546" spans="1:8" s="226" customFormat="1" ht="9.75" customHeight="1">
      <c r="A546" s="232"/>
      <c r="H546" s="231"/>
    </row>
    <row r="547" spans="1:8" s="226" customFormat="1" ht="9.75" customHeight="1">
      <c r="A547" s="232"/>
      <c r="H547" s="231"/>
    </row>
    <row r="548" spans="1:8" s="226" customFormat="1" ht="9.75" customHeight="1">
      <c r="A548" s="232"/>
      <c r="H548" s="231"/>
    </row>
    <row r="549" spans="1:8" s="226" customFormat="1" ht="9.75" customHeight="1">
      <c r="A549" s="232"/>
      <c r="H549" s="231"/>
    </row>
    <row r="550" spans="1:8" s="226" customFormat="1" ht="9.75" customHeight="1">
      <c r="A550" s="232"/>
      <c r="H550" s="231"/>
    </row>
    <row r="551" spans="1:8" s="226" customFormat="1" ht="9.75" customHeight="1">
      <c r="A551" s="232"/>
      <c r="H551" s="231"/>
    </row>
    <row r="552" spans="1:8" s="226" customFormat="1" ht="9.75" customHeight="1">
      <c r="A552" s="232"/>
      <c r="H552" s="231"/>
    </row>
    <row r="553" spans="1:8" s="226" customFormat="1" ht="9.75" customHeight="1">
      <c r="A553" s="232"/>
      <c r="H553" s="231"/>
    </row>
    <row r="554" spans="1:8" s="226" customFormat="1" ht="9.75" customHeight="1">
      <c r="A554" s="232"/>
      <c r="H554" s="231"/>
    </row>
    <row r="555" spans="1:8" s="226" customFormat="1" ht="9.75" customHeight="1">
      <c r="A555" s="232"/>
      <c r="H555" s="231"/>
    </row>
    <row r="556" spans="1:8" s="226" customFormat="1" ht="9.75" customHeight="1">
      <c r="A556" s="232"/>
      <c r="H556" s="231"/>
    </row>
    <row r="557" spans="1:8" s="226" customFormat="1" ht="9.75" customHeight="1">
      <c r="A557" s="232"/>
      <c r="H557" s="231"/>
    </row>
    <row r="558" spans="1:8" s="226" customFormat="1" ht="9.75" customHeight="1">
      <c r="A558" s="232"/>
      <c r="H558" s="231"/>
    </row>
    <row r="559" spans="1:8" s="226" customFormat="1" ht="9.75" customHeight="1">
      <c r="A559" s="232"/>
      <c r="H559" s="231"/>
    </row>
    <row r="560" spans="1:8" s="226" customFormat="1" ht="9.75" customHeight="1">
      <c r="A560" s="232"/>
      <c r="H560" s="231"/>
    </row>
    <row r="561" spans="1:8" s="226" customFormat="1" ht="9.75" customHeight="1">
      <c r="A561" s="232"/>
      <c r="H561" s="231"/>
    </row>
    <row r="562" spans="1:8" s="226" customFormat="1" ht="9.75" customHeight="1">
      <c r="A562" s="232"/>
      <c r="H562" s="231"/>
    </row>
    <row r="563" spans="1:8" s="226" customFormat="1" ht="9.75" customHeight="1">
      <c r="A563" s="232"/>
      <c r="H563" s="231"/>
    </row>
    <row r="564" spans="1:8" s="226" customFormat="1" ht="9.75" customHeight="1">
      <c r="A564" s="232"/>
      <c r="H564" s="231"/>
    </row>
    <row r="565" spans="1:8" s="226" customFormat="1" ht="9.75" customHeight="1">
      <c r="A565" s="232"/>
      <c r="H565" s="231"/>
    </row>
    <row r="566" spans="1:8" s="226" customFormat="1" ht="9.75" customHeight="1">
      <c r="A566" s="232"/>
      <c r="H566" s="231"/>
    </row>
    <row r="567" spans="1:8" s="226" customFormat="1" ht="9.75" customHeight="1">
      <c r="A567" s="232"/>
      <c r="H567" s="231"/>
    </row>
    <row r="568" spans="1:8" s="226" customFormat="1" ht="9.75" customHeight="1">
      <c r="A568" s="232"/>
      <c r="H568" s="231"/>
    </row>
    <row r="569" spans="1:8" s="226" customFormat="1" ht="9.75" customHeight="1">
      <c r="A569" s="232"/>
      <c r="H569" s="231"/>
    </row>
    <row r="570" spans="1:8" s="226" customFormat="1" ht="9.75" customHeight="1">
      <c r="A570" s="232"/>
      <c r="H570" s="231"/>
    </row>
    <row r="571" spans="1:8" s="226" customFormat="1" ht="9.75" customHeight="1">
      <c r="A571" s="232"/>
      <c r="H571" s="231"/>
    </row>
    <row r="572" spans="1:8" s="226" customFormat="1" ht="9.75" customHeight="1">
      <c r="A572" s="232"/>
      <c r="H572" s="231"/>
    </row>
    <row r="573" spans="1:8" s="226" customFormat="1" ht="9.75" customHeight="1">
      <c r="A573" s="232"/>
      <c r="H573" s="231"/>
    </row>
    <row r="574" spans="1:8" s="226" customFormat="1" ht="9.75" customHeight="1">
      <c r="A574" s="232"/>
      <c r="H574" s="231"/>
    </row>
    <row r="575" spans="1:8" s="226" customFormat="1" ht="9.75" customHeight="1">
      <c r="A575" s="232"/>
      <c r="H575" s="231"/>
    </row>
    <row r="576" spans="1:8" s="226" customFormat="1" ht="9.75" customHeight="1">
      <c r="A576" s="232"/>
      <c r="H576" s="231"/>
    </row>
    <row r="577" spans="1:8" s="226" customFormat="1" ht="9.75" customHeight="1">
      <c r="A577" s="232"/>
      <c r="H577" s="231"/>
    </row>
    <row r="578" spans="1:8" s="226" customFormat="1" ht="9.75" customHeight="1">
      <c r="A578" s="232"/>
      <c r="H578" s="231"/>
    </row>
    <row r="579" spans="1:8" s="226" customFormat="1" ht="9.75" customHeight="1">
      <c r="A579" s="232"/>
      <c r="H579" s="231"/>
    </row>
    <row r="580" spans="1:8" s="226" customFormat="1" ht="9.75" customHeight="1">
      <c r="A580" s="232"/>
      <c r="H580" s="231"/>
    </row>
    <row r="581" spans="1:8" s="226" customFormat="1" ht="9.75" customHeight="1">
      <c r="A581" s="232"/>
      <c r="H581" s="231"/>
    </row>
    <row r="582" spans="1:8" s="226" customFormat="1" ht="9.75" customHeight="1">
      <c r="A582" s="232"/>
      <c r="H582" s="231"/>
    </row>
    <row r="583" spans="1:8" s="226" customFormat="1" ht="9.75" customHeight="1">
      <c r="A583" s="232"/>
      <c r="H583" s="231"/>
    </row>
    <row r="584" spans="1:8" s="226" customFormat="1" ht="9.75" customHeight="1">
      <c r="A584" s="232"/>
      <c r="H584" s="231"/>
    </row>
    <row r="585" spans="1:8" s="226" customFormat="1" ht="9.75" customHeight="1">
      <c r="A585" s="232"/>
      <c r="H585" s="231"/>
    </row>
    <row r="586" spans="1:8" s="226" customFormat="1" ht="9.75" customHeight="1">
      <c r="A586" s="232"/>
      <c r="H586" s="231"/>
    </row>
    <row r="587" spans="1:8" s="226" customFormat="1" ht="9.75" customHeight="1">
      <c r="A587" s="232"/>
      <c r="H587" s="231"/>
    </row>
    <row r="588" spans="1:8" s="226" customFormat="1" ht="9.75" customHeight="1">
      <c r="A588" s="232"/>
      <c r="H588" s="231"/>
    </row>
    <row r="589" spans="1:8" s="226" customFormat="1" ht="9.75" customHeight="1">
      <c r="A589" s="232"/>
      <c r="H589" s="231"/>
    </row>
    <row r="590" spans="1:8" s="226" customFormat="1" ht="9.75" customHeight="1">
      <c r="A590" s="232"/>
      <c r="H590" s="231"/>
    </row>
    <row r="591" spans="1:8" s="226" customFormat="1" ht="9.75" customHeight="1">
      <c r="A591" s="232"/>
      <c r="H591" s="231"/>
    </row>
    <row r="592" spans="1:8" s="226" customFormat="1" ht="9.75" customHeight="1">
      <c r="A592" s="232"/>
      <c r="H592" s="231"/>
    </row>
    <row r="593" spans="1:8" s="226" customFormat="1" ht="9.75" customHeight="1">
      <c r="A593" s="232"/>
      <c r="H593" s="231"/>
    </row>
    <row r="594" spans="1:8" s="226" customFormat="1" ht="9.75" customHeight="1">
      <c r="A594" s="232"/>
      <c r="H594" s="231"/>
    </row>
    <row r="595" spans="1:8" s="226" customFormat="1" ht="9.75" customHeight="1">
      <c r="A595" s="232"/>
      <c r="H595" s="231"/>
    </row>
    <row r="596" spans="1:8" s="226" customFormat="1" ht="9.75" customHeight="1">
      <c r="A596" s="232"/>
      <c r="H596" s="231"/>
    </row>
    <row r="597" spans="1:8" s="226" customFormat="1" ht="9.75" customHeight="1">
      <c r="A597" s="232"/>
      <c r="H597" s="231"/>
    </row>
    <row r="598" spans="1:8" s="226" customFormat="1" ht="9.75" customHeight="1">
      <c r="A598" s="232"/>
      <c r="H598" s="231"/>
    </row>
    <row r="599" spans="1:8" s="226" customFormat="1" ht="9.75" customHeight="1">
      <c r="A599" s="232"/>
      <c r="H599" s="231"/>
    </row>
    <row r="600" spans="1:8" s="226" customFormat="1" ht="9.75" customHeight="1">
      <c r="A600" s="232"/>
      <c r="H600" s="231"/>
    </row>
    <row r="601" spans="1:8" s="226" customFormat="1" ht="9.75" customHeight="1">
      <c r="A601" s="232"/>
      <c r="H601" s="231"/>
    </row>
    <row r="602" spans="1:8" s="226" customFormat="1" ht="9.75" customHeight="1">
      <c r="A602" s="232"/>
      <c r="H602" s="231"/>
    </row>
    <row r="603" spans="1:8" s="226" customFormat="1" ht="9.75" customHeight="1">
      <c r="A603" s="232"/>
      <c r="H603" s="231"/>
    </row>
    <row r="604" spans="1:8" s="226" customFormat="1" ht="9.75" customHeight="1">
      <c r="A604" s="232"/>
      <c r="H604" s="231"/>
    </row>
    <row r="605" spans="1:8" s="226" customFormat="1" ht="9.75" customHeight="1">
      <c r="A605" s="232"/>
      <c r="H605" s="231"/>
    </row>
    <row r="606" spans="1:8" s="226" customFormat="1" ht="9.75" customHeight="1">
      <c r="A606" s="232"/>
      <c r="H606" s="231"/>
    </row>
    <row r="607" spans="1:8" s="226" customFormat="1" ht="9.75" customHeight="1">
      <c r="A607" s="232"/>
      <c r="H607" s="231"/>
    </row>
    <row r="608" spans="1:8" s="226" customFormat="1" ht="9.75" customHeight="1">
      <c r="A608" s="232"/>
      <c r="H608" s="231"/>
    </row>
    <row r="609" spans="1:8" s="226" customFormat="1" ht="9.75" customHeight="1">
      <c r="A609" s="232"/>
      <c r="H609" s="231"/>
    </row>
    <row r="610" spans="1:8" s="226" customFormat="1" ht="9.75" customHeight="1">
      <c r="A610" s="232"/>
      <c r="H610" s="231"/>
    </row>
    <row r="611" spans="1:8" s="226" customFormat="1" ht="9.75" customHeight="1">
      <c r="A611" s="232"/>
      <c r="H611" s="231"/>
    </row>
    <row r="612" spans="1:8" s="226" customFormat="1" ht="9.75" customHeight="1">
      <c r="A612" s="232"/>
      <c r="H612" s="231"/>
    </row>
    <row r="613" spans="1:8" s="226" customFormat="1" ht="9.75" customHeight="1">
      <c r="A613" s="232"/>
      <c r="H613" s="231"/>
    </row>
    <row r="614" spans="1:8" s="226" customFormat="1" ht="9.75" customHeight="1">
      <c r="A614" s="232"/>
      <c r="H614" s="231"/>
    </row>
    <row r="615" spans="1:8" s="226" customFormat="1" ht="9.75" customHeight="1">
      <c r="A615" s="232"/>
      <c r="H615" s="231"/>
    </row>
    <row r="616" spans="1:8" s="226" customFormat="1" ht="9.75" customHeight="1">
      <c r="A616" s="232"/>
      <c r="H616" s="231"/>
    </row>
    <row r="617" spans="1:8" s="226" customFormat="1" ht="9.75" customHeight="1">
      <c r="A617" s="232"/>
      <c r="H617" s="231"/>
    </row>
    <row r="618" spans="1:8" s="226" customFormat="1" ht="9.75" customHeight="1">
      <c r="A618" s="232"/>
      <c r="H618" s="231"/>
    </row>
    <row r="619" spans="1:8" s="226" customFormat="1" ht="9.75" customHeight="1">
      <c r="A619" s="232"/>
      <c r="H619" s="231"/>
    </row>
    <row r="620" spans="1:8" s="226" customFormat="1" ht="9.75" customHeight="1">
      <c r="A620" s="232"/>
      <c r="H620" s="231"/>
    </row>
    <row r="621" spans="1:8" s="226" customFormat="1" ht="9.75" customHeight="1">
      <c r="A621" s="232"/>
      <c r="H621" s="231"/>
    </row>
    <row r="622" spans="1:8" s="226" customFormat="1" ht="9.75" customHeight="1">
      <c r="A622" s="232"/>
      <c r="H622" s="231"/>
    </row>
    <row r="623" spans="1:8" s="226" customFormat="1" ht="9.75" customHeight="1">
      <c r="A623" s="232"/>
      <c r="H623" s="231"/>
    </row>
    <row r="624" spans="1:8" s="226" customFormat="1" ht="9.75" customHeight="1">
      <c r="A624" s="232"/>
      <c r="H624" s="231"/>
    </row>
    <row r="625" spans="1:8" s="226" customFormat="1" ht="9.75" customHeight="1">
      <c r="A625" s="232"/>
      <c r="H625" s="231"/>
    </row>
    <row r="626" spans="1:8" s="226" customFormat="1" ht="9.75" customHeight="1">
      <c r="A626" s="232"/>
      <c r="H626" s="231"/>
    </row>
    <row r="627" spans="1:8" s="226" customFormat="1" ht="9.75" customHeight="1">
      <c r="A627" s="232"/>
      <c r="H627" s="231"/>
    </row>
    <row r="628" spans="1:8" s="226" customFormat="1" ht="9.75" customHeight="1">
      <c r="A628" s="232"/>
      <c r="H628" s="231"/>
    </row>
    <row r="629" spans="1:8" s="226" customFormat="1" ht="9.75" customHeight="1">
      <c r="A629" s="232"/>
      <c r="H629" s="231"/>
    </row>
    <row r="630" spans="1:8" s="226" customFormat="1" ht="9.75" customHeight="1">
      <c r="A630" s="232"/>
      <c r="H630" s="231"/>
    </row>
    <row r="631" spans="1:8" s="226" customFormat="1" ht="9.75" customHeight="1">
      <c r="A631" s="232"/>
      <c r="H631" s="231"/>
    </row>
    <row r="632" spans="1:8" s="226" customFormat="1" ht="9.75" customHeight="1">
      <c r="A632" s="232"/>
      <c r="H632" s="231"/>
    </row>
    <row r="633" spans="1:8" s="226" customFormat="1" ht="9.75" customHeight="1">
      <c r="A633" s="232"/>
      <c r="H633" s="231"/>
    </row>
    <row r="634" spans="1:8" s="226" customFormat="1" ht="9.75" customHeight="1">
      <c r="A634" s="232"/>
      <c r="H634" s="231"/>
    </row>
    <row r="635" spans="1:8" s="226" customFormat="1" ht="9.75" customHeight="1">
      <c r="A635" s="232"/>
      <c r="H635" s="231"/>
    </row>
    <row r="636" spans="1:8" s="226" customFormat="1" ht="9.75" customHeight="1">
      <c r="A636" s="232"/>
      <c r="H636" s="231"/>
    </row>
    <row r="637" spans="1:8" s="226" customFormat="1" ht="9.75" customHeight="1">
      <c r="A637" s="232"/>
      <c r="H637" s="231"/>
    </row>
    <row r="638" spans="1:8" s="226" customFormat="1" ht="9.75" customHeight="1">
      <c r="A638" s="232"/>
      <c r="H638" s="231"/>
    </row>
    <row r="639" spans="1:8" s="226" customFormat="1" ht="9.75" customHeight="1">
      <c r="A639" s="232"/>
      <c r="H639" s="231"/>
    </row>
    <row r="640" spans="1:8" s="226" customFormat="1" ht="9.75" customHeight="1">
      <c r="A640" s="232"/>
      <c r="H640" s="231"/>
    </row>
    <row r="641" spans="1:8" s="226" customFormat="1" ht="9.75" customHeight="1">
      <c r="A641" s="232"/>
      <c r="H641" s="231"/>
    </row>
    <row r="642" spans="1:8" s="226" customFormat="1" ht="9.75" customHeight="1">
      <c r="A642" s="232"/>
      <c r="H642" s="231"/>
    </row>
    <row r="643" spans="1:8" s="226" customFormat="1" ht="9.75" customHeight="1">
      <c r="A643" s="232"/>
      <c r="H643" s="231"/>
    </row>
    <row r="644" spans="1:8" s="226" customFormat="1" ht="9.75" customHeight="1">
      <c r="A644" s="232"/>
      <c r="H644" s="231"/>
    </row>
    <row r="645" spans="1:8" s="226" customFormat="1" ht="9.75" customHeight="1">
      <c r="A645" s="232"/>
      <c r="H645" s="231"/>
    </row>
    <row r="646" spans="1:8" s="226" customFormat="1" ht="9.75" customHeight="1">
      <c r="A646" s="232"/>
      <c r="H646" s="231"/>
    </row>
    <row r="647" spans="1:8" s="226" customFormat="1" ht="9.75" customHeight="1">
      <c r="A647" s="232"/>
      <c r="H647" s="231"/>
    </row>
    <row r="648" spans="1:8" s="226" customFormat="1" ht="9.75" customHeight="1">
      <c r="A648" s="232"/>
      <c r="H648" s="231"/>
    </row>
    <row r="649" spans="1:8" s="226" customFormat="1" ht="9.75" customHeight="1">
      <c r="A649" s="232"/>
      <c r="H649" s="231"/>
    </row>
    <row r="650" spans="1:8" s="226" customFormat="1" ht="9.75" customHeight="1">
      <c r="A650" s="232"/>
      <c r="H650" s="231"/>
    </row>
    <row r="651" spans="1:8" s="226" customFormat="1" ht="9.75" customHeight="1">
      <c r="A651" s="232"/>
      <c r="H651" s="231"/>
    </row>
    <row r="652" spans="1:8" s="226" customFormat="1" ht="9.75" customHeight="1">
      <c r="A652" s="232"/>
      <c r="H652" s="231"/>
    </row>
    <row r="653" spans="1:8" s="226" customFormat="1" ht="9.75" customHeight="1">
      <c r="A653" s="232"/>
      <c r="H653" s="231"/>
    </row>
    <row r="654" spans="1:8" s="226" customFormat="1" ht="9.75" customHeight="1">
      <c r="A654" s="232"/>
      <c r="H654" s="231"/>
    </row>
    <row r="655" spans="1:8" s="226" customFormat="1" ht="9.75" customHeight="1">
      <c r="A655" s="232"/>
      <c r="H655" s="231"/>
    </row>
    <row r="656" spans="1:8" s="226" customFormat="1" ht="9.75" customHeight="1">
      <c r="A656" s="232"/>
      <c r="H656" s="231"/>
    </row>
    <row r="657" spans="1:8" s="226" customFormat="1" ht="9.75" customHeight="1">
      <c r="A657" s="232"/>
      <c r="H657" s="231"/>
    </row>
    <row r="658" spans="1:8" s="226" customFormat="1" ht="9.75" customHeight="1">
      <c r="A658" s="232"/>
      <c r="H658" s="231"/>
    </row>
    <row r="659" spans="1:8" s="226" customFormat="1" ht="9.75" customHeight="1">
      <c r="A659" s="232"/>
      <c r="H659" s="231"/>
    </row>
    <row r="660" spans="1:8" s="226" customFormat="1" ht="9.75" customHeight="1">
      <c r="A660" s="232"/>
      <c r="H660" s="231"/>
    </row>
    <row r="661" spans="1:8" s="226" customFormat="1" ht="9.75" customHeight="1">
      <c r="A661" s="232"/>
      <c r="H661" s="231"/>
    </row>
    <row r="662" spans="1:8" s="226" customFormat="1" ht="9.75" customHeight="1">
      <c r="A662" s="232"/>
      <c r="H662" s="231"/>
    </row>
    <row r="663" spans="1:8" s="226" customFormat="1" ht="9.75" customHeight="1">
      <c r="A663" s="232"/>
      <c r="H663" s="231"/>
    </row>
    <row r="664" spans="1:8" s="226" customFormat="1" ht="9.75" customHeight="1">
      <c r="A664" s="232"/>
      <c r="H664" s="231"/>
    </row>
    <row r="665" spans="1:8" s="226" customFormat="1" ht="9.75" customHeight="1">
      <c r="A665" s="232"/>
      <c r="H665" s="231"/>
    </row>
    <row r="666" spans="1:8" s="226" customFormat="1" ht="9.75" customHeight="1">
      <c r="A666" s="232"/>
      <c r="H666" s="231"/>
    </row>
    <row r="667" spans="1:8" s="226" customFormat="1" ht="9.75" customHeight="1">
      <c r="A667" s="232"/>
      <c r="H667" s="231"/>
    </row>
    <row r="668" spans="1:8" s="226" customFormat="1" ht="9.75" customHeight="1">
      <c r="A668" s="232"/>
      <c r="H668" s="231"/>
    </row>
    <row r="669" spans="1:8" s="226" customFormat="1" ht="9.75" customHeight="1">
      <c r="A669" s="232"/>
      <c r="H669" s="231"/>
    </row>
    <row r="670" spans="1:8" s="226" customFormat="1" ht="9.75" customHeight="1">
      <c r="A670" s="232"/>
      <c r="H670" s="231"/>
    </row>
    <row r="671" spans="1:8" s="226" customFormat="1" ht="9.75" customHeight="1">
      <c r="A671" s="232"/>
      <c r="H671" s="231"/>
    </row>
    <row r="672" spans="1:8" s="226" customFormat="1" ht="9.75" customHeight="1">
      <c r="A672" s="232"/>
      <c r="H672" s="231"/>
    </row>
    <row r="673" spans="1:8" s="226" customFormat="1" ht="9.75" customHeight="1">
      <c r="A673" s="232"/>
      <c r="H673" s="231"/>
    </row>
    <row r="674" spans="1:8" s="226" customFormat="1" ht="9.75" customHeight="1">
      <c r="A674" s="232"/>
      <c r="H674" s="231"/>
    </row>
    <row r="675" spans="1:8" s="226" customFormat="1" ht="9.75" customHeight="1">
      <c r="A675" s="232"/>
      <c r="H675" s="231"/>
    </row>
    <row r="676" spans="1:8" s="226" customFormat="1" ht="9.75" customHeight="1">
      <c r="A676" s="232"/>
      <c r="H676" s="231"/>
    </row>
    <row r="677" spans="1:8" s="226" customFormat="1" ht="9.75" customHeight="1">
      <c r="A677" s="232"/>
      <c r="H677" s="231"/>
    </row>
    <row r="678" spans="1:8" s="226" customFormat="1" ht="9.75" customHeight="1">
      <c r="A678" s="232"/>
      <c r="H678" s="231"/>
    </row>
    <row r="679" spans="1:8" s="226" customFormat="1" ht="9.75" customHeight="1">
      <c r="A679" s="232"/>
      <c r="H679" s="231"/>
    </row>
    <row r="680" spans="1:8" s="226" customFormat="1" ht="9.75" customHeight="1">
      <c r="A680" s="232"/>
      <c r="H680" s="231"/>
    </row>
    <row r="681" spans="1:8" s="226" customFormat="1" ht="9.75" customHeight="1">
      <c r="A681" s="232"/>
      <c r="H681" s="231"/>
    </row>
    <row r="682" spans="1:8" s="226" customFormat="1" ht="9.75" customHeight="1">
      <c r="A682" s="232"/>
      <c r="H682" s="231"/>
    </row>
    <row r="683" spans="1:8" s="226" customFormat="1" ht="9.75" customHeight="1">
      <c r="A683" s="232"/>
      <c r="H683" s="231"/>
    </row>
    <row r="684" spans="1:8" s="226" customFormat="1" ht="9.75" customHeight="1">
      <c r="A684" s="232"/>
      <c r="H684" s="231"/>
    </row>
    <row r="685" spans="1:8" s="226" customFormat="1" ht="9.75" customHeight="1">
      <c r="A685" s="232"/>
      <c r="H685" s="231"/>
    </row>
    <row r="686" spans="1:8" s="226" customFormat="1" ht="9.75" customHeight="1">
      <c r="A686" s="232"/>
      <c r="H686" s="231"/>
    </row>
    <row r="687" spans="1:8" s="226" customFormat="1" ht="9.75" customHeight="1">
      <c r="A687" s="232"/>
      <c r="H687" s="231"/>
    </row>
    <row r="688" spans="1:8" s="226" customFormat="1" ht="9.75" customHeight="1">
      <c r="A688" s="232"/>
      <c r="H688" s="231"/>
    </row>
    <row r="689" spans="1:8" s="226" customFormat="1" ht="9.75" customHeight="1">
      <c r="A689" s="232"/>
      <c r="H689" s="231"/>
    </row>
    <row r="690" spans="1:8" s="226" customFormat="1" ht="9.75" customHeight="1">
      <c r="A690" s="232"/>
      <c r="H690" s="231"/>
    </row>
    <row r="691" spans="1:8" s="226" customFormat="1" ht="9.75" customHeight="1">
      <c r="A691" s="232"/>
      <c r="H691" s="231"/>
    </row>
    <row r="692" spans="1:8" s="226" customFormat="1" ht="9.75" customHeight="1">
      <c r="A692" s="232"/>
      <c r="H692" s="231"/>
    </row>
    <row r="693" spans="1:8" s="226" customFormat="1" ht="9.75" customHeight="1">
      <c r="A693" s="232"/>
      <c r="H693" s="231"/>
    </row>
    <row r="694" spans="1:8" s="226" customFormat="1" ht="9.75" customHeight="1">
      <c r="A694" s="232"/>
      <c r="H694" s="231"/>
    </row>
    <row r="695" spans="1:8" s="226" customFormat="1" ht="9.75" customHeight="1">
      <c r="A695" s="232"/>
      <c r="H695" s="231"/>
    </row>
    <row r="696" spans="1:8" s="226" customFormat="1" ht="9.75" customHeight="1">
      <c r="A696" s="232"/>
      <c r="H696" s="231"/>
    </row>
    <row r="697" spans="1:8" s="226" customFormat="1" ht="9.75" customHeight="1">
      <c r="A697" s="232"/>
      <c r="H697" s="231"/>
    </row>
    <row r="698" spans="1:8" s="226" customFormat="1" ht="9.75" customHeight="1">
      <c r="A698" s="232"/>
      <c r="H698" s="231"/>
    </row>
    <row r="699" spans="1:8" s="226" customFormat="1" ht="9.75" customHeight="1">
      <c r="A699" s="232"/>
      <c r="H699" s="231"/>
    </row>
    <row r="700" spans="1:8" s="226" customFormat="1" ht="9.75" customHeight="1">
      <c r="A700" s="232"/>
      <c r="H700" s="231"/>
    </row>
    <row r="701" spans="1:8" s="226" customFormat="1" ht="9.75" customHeight="1">
      <c r="A701" s="232"/>
      <c r="H701" s="231"/>
    </row>
    <row r="702" spans="1:8" s="226" customFormat="1" ht="9.75" customHeight="1">
      <c r="A702" s="232"/>
      <c r="H702" s="231"/>
    </row>
    <row r="703" spans="1:8" s="226" customFormat="1" ht="9.75" customHeight="1">
      <c r="A703" s="232"/>
      <c r="H703" s="231"/>
    </row>
    <row r="704" spans="1:8" s="226" customFormat="1" ht="9.75" customHeight="1">
      <c r="A704" s="232"/>
      <c r="H704" s="231"/>
    </row>
    <row r="705" spans="1:8" s="226" customFormat="1" ht="9.75" customHeight="1">
      <c r="A705" s="232"/>
      <c r="H705" s="231"/>
    </row>
    <row r="706" spans="1:8" s="226" customFormat="1" ht="9.75" customHeight="1">
      <c r="A706" s="232"/>
      <c r="H706" s="231"/>
    </row>
    <row r="707" spans="1:8" s="226" customFormat="1" ht="9.75" customHeight="1">
      <c r="A707" s="232"/>
      <c r="H707" s="231"/>
    </row>
    <row r="708" spans="1:8" s="226" customFormat="1" ht="9.75" customHeight="1">
      <c r="A708" s="232"/>
      <c r="H708" s="231"/>
    </row>
    <row r="709" spans="1:8" s="226" customFormat="1" ht="9.75" customHeight="1">
      <c r="A709" s="232"/>
      <c r="H709" s="231"/>
    </row>
    <row r="710" spans="1:8" s="226" customFormat="1" ht="9.75" customHeight="1">
      <c r="A710" s="232"/>
      <c r="H710" s="231"/>
    </row>
    <row r="711" spans="1:8" s="226" customFormat="1" ht="9.75" customHeight="1">
      <c r="A711" s="232"/>
      <c r="H711" s="231"/>
    </row>
    <row r="712" spans="1:8" s="226" customFormat="1" ht="9.75" customHeight="1">
      <c r="A712" s="232"/>
      <c r="H712" s="231"/>
    </row>
    <row r="713" spans="1:8" s="226" customFormat="1" ht="9.75" customHeight="1">
      <c r="A713" s="232"/>
      <c r="H713" s="231"/>
    </row>
    <row r="714" spans="1:8" s="226" customFormat="1" ht="9.75" customHeight="1">
      <c r="A714" s="232"/>
      <c r="H714" s="231"/>
    </row>
    <row r="715" spans="1:8" s="226" customFormat="1" ht="9.75" customHeight="1">
      <c r="A715" s="232"/>
      <c r="H715" s="231"/>
    </row>
    <row r="716" spans="1:8" s="226" customFormat="1" ht="9.75" customHeight="1">
      <c r="A716" s="232"/>
      <c r="H716" s="231"/>
    </row>
    <row r="717" spans="1:8" s="226" customFormat="1" ht="9.75" customHeight="1">
      <c r="A717" s="232"/>
      <c r="H717" s="231"/>
    </row>
    <row r="718" spans="1:8" s="226" customFormat="1" ht="9.75" customHeight="1">
      <c r="A718" s="232"/>
      <c r="H718" s="231"/>
    </row>
    <row r="719" spans="1:8" s="226" customFormat="1" ht="9.75" customHeight="1">
      <c r="A719" s="232"/>
      <c r="H719" s="231"/>
    </row>
    <row r="720" spans="1:8" s="226" customFormat="1" ht="9.75" customHeight="1">
      <c r="A720" s="232"/>
      <c r="H720" s="231"/>
    </row>
    <row r="721" spans="1:8" s="226" customFormat="1" ht="9.75" customHeight="1">
      <c r="A721" s="232"/>
      <c r="H721" s="231"/>
    </row>
    <row r="722" spans="1:8" s="226" customFormat="1" ht="9.75" customHeight="1">
      <c r="A722" s="232"/>
      <c r="H722" s="231"/>
    </row>
    <row r="723" spans="1:8" s="226" customFormat="1" ht="9.75" customHeight="1">
      <c r="A723" s="232"/>
      <c r="H723" s="231"/>
    </row>
    <row r="724" spans="1:8" s="226" customFormat="1" ht="9.75" customHeight="1">
      <c r="A724" s="232"/>
      <c r="H724" s="231"/>
    </row>
    <row r="725" spans="1:8" s="226" customFormat="1" ht="9.75" customHeight="1">
      <c r="A725" s="232"/>
      <c r="H725" s="231"/>
    </row>
    <row r="726" spans="1:8" s="226" customFormat="1" ht="9.75" customHeight="1">
      <c r="A726" s="232"/>
      <c r="H726" s="231"/>
    </row>
    <row r="727" spans="1:8" s="226" customFormat="1" ht="9.75" customHeight="1">
      <c r="A727" s="232"/>
      <c r="H727" s="231"/>
    </row>
    <row r="728" spans="1:8" s="226" customFormat="1" ht="9.75" customHeight="1">
      <c r="A728" s="232"/>
      <c r="H728" s="231"/>
    </row>
    <row r="729" spans="1:8" s="226" customFormat="1" ht="9.75" customHeight="1">
      <c r="A729" s="232"/>
      <c r="H729" s="231"/>
    </row>
    <row r="730" spans="1:8" s="226" customFormat="1" ht="9.75" customHeight="1">
      <c r="A730" s="232"/>
      <c r="H730" s="231"/>
    </row>
    <row r="731" spans="1:8" s="226" customFormat="1" ht="9.75" customHeight="1">
      <c r="A731" s="232"/>
      <c r="H731" s="231"/>
    </row>
    <row r="732" spans="1:8" s="226" customFormat="1" ht="9.75" customHeight="1">
      <c r="A732" s="232"/>
      <c r="H732" s="231"/>
    </row>
    <row r="733" spans="1:8" s="226" customFormat="1" ht="9.75" customHeight="1">
      <c r="A733" s="232"/>
      <c r="H733" s="231"/>
    </row>
    <row r="734" spans="1:8" s="226" customFormat="1" ht="9.75" customHeight="1">
      <c r="A734" s="232"/>
      <c r="H734" s="231"/>
    </row>
    <row r="735" spans="1:8" s="226" customFormat="1" ht="9.75" customHeight="1">
      <c r="A735" s="232"/>
      <c r="H735" s="231"/>
    </row>
    <row r="736" spans="1:8" s="226" customFormat="1" ht="9.75" customHeight="1">
      <c r="A736" s="232"/>
      <c r="H736" s="231"/>
    </row>
    <row r="737" spans="1:8" s="226" customFormat="1" ht="9.75" customHeight="1">
      <c r="A737" s="232"/>
      <c r="H737" s="231"/>
    </row>
    <row r="738" spans="1:8" s="226" customFormat="1" ht="9.75" customHeight="1">
      <c r="A738" s="232"/>
      <c r="H738" s="231"/>
    </row>
    <row r="739" spans="1:8" s="226" customFormat="1" ht="9.75" customHeight="1">
      <c r="A739" s="232"/>
      <c r="H739" s="231"/>
    </row>
    <row r="740" spans="1:8" s="226" customFormat="1" ht="9.75" customHeight="1">
      <c r="A740" s="232"/>
      <c r="H740" s="231"/>
    </row>
    <row r="741" spans="1:8" s="226" customFormat="1" ht="9.75" customHeight="1">
      <c r="A741" s="232"/>
      <c r="H741" s="231"/>
    </row>
    <row r="742" spans="1:8" s="226" customFormat="1" ht="9.75" customHeight="1">
      <c r="A742" s="232"/>
      <c r="H742" s="231"/>
    </row>
    <row r="743" spans="1:8" s="226" customFormat="1" ht="9.75" customHeight="1">
      <c r="A743" s="232"/>
      <c r="H743" s="231"/>
    </row>
    <row r="744" spans="1:8" s="226" customFormat="1" ht="9.75" customHeight="1">
      <c r="A744" s="232"/>
      <c r="H744" s="231"/>
    </row>
    <row r="745" spans="1:8" s="226" customFormat="1" ht="9.75" customHeight="1">
      <c r="A745" s="232"/>
      <c r="H745" s="231"/>
    </row>
    <row r="746" spans="1:8" s="226" customFormat="1" ht="9.75" customHeight="1">
      <c r="A746" s="232"/>
      <c r="H746" s="231"/>
    </row>
    <row r="747" spans="1:8" s="226" customFormat="1" ht="9.75" customHeight="1">
      <c r="A747" s="232"/>
      <c r="H747" s="231"/>
    </row>
    <row r="748" spans="1:8" s="226" customFormat="1" ht="9.75" customHeight="1">
      <c r="A748" s="232"/>
      <c r="H748" s="231"/>
    </row>
    <row r="749" spans="1:8" s="226" customFormat="1" ht="9.75" customHeight="1">
      <c r="A749" s="232"/>
      <c r="H749" s="231"/>
    </row>
    <row r="750" spans="1:8" s="226" customFormat="1" ht="9.75" customHeight="1">
      <c r="A750" s="232"/>
      <c r="H750" s="231"/>
    </row>
    <row r="751" spans="1:8" s="226" customFormat="1" ht="9.75" customHeight="1">
      <c r="A751" s="232"/>
      <c r="H751" s="231"/>
    </row>
    <row r="752" spans="1:8" s="226" customFormat="1" ht="9.75" customHeight="1">
      <c r="A752" s="232"/>
      <c r="H752" s="231"/>
    </row>
    <row r="753" spans="1:8" s="226" customFormat="1" ht="9.75" customHeight="1">
      <c r="A753" s="232"/>
      <c r="H753" s="231"/>
    </row>
    <row r="754" spans="1:8" s="226" customFormat="1" ht="9.75" customHeight="1">
      <c r="A754" s="232"/>
      <c r="H754" s="231"/>
    </row>
    <row r="755" spans="1:8" s="226" customFormat="1" ht="9.75" customHeight="1">
      <c r="A755" s="232"/>
      <c r="H755" s="231"/>
    </row>
    <row r="756" spans="1:8" s="226" customFormat="1" ht="9.75" customHeight="1">
      <c r="A756" s="232"/>
      <c r="H756" s="231"/>
    </row>
    <row r="757" spans="1:8" s="226" customFormat="1" ht="9.75" customHeight="1">
      <c r="A757" s="232"/>
      <c r="H757" s="231"/>
    </row>
    <row r="758" spans="1:8" s="226" customFormat="1" ht="9.75" customHeight="1">
      <c r="A758" s="232"/>
      <c r="H758" s="231"/>
    </row>
    <row r="759" spans="1:8" s="226" customFormat="1" ht="9.75" customHeight="1">
      <c r="A759" s="232"/>
      <c r="H759" s="231"/>
    </row>
    <row r="760" spans="1:8" s="226" customFormat="1" ht="9.75" customHeight="1">
      <c r="A760" s="232"/>
      <c r="H760" s="231"/>
    </row>
    <row r="761" spans="1:8" s="226" customFormat="1" ht="9.75" customHeight="1">
      <c r="A761" s="232"/>
      <c r="H761" s="231"/>
    </row>
    <row r="762" spans="1:8" s="226" customFormat="1" ht="9.75" customHeight="1">
      <c r="A762" s="232"/>
      <c r="H762" s="231"/>
    </row>
    <row r="763" spans="1:8" s="226" customFormat="1" ht="9.75" customHeight="1">
      <c r="A763" s="232"/>
      <c r="H763" s="231"/>
    </row>
    <row r="764" spans="1:8" s="226" customFormat="1" ht="9.75" customHeight="1">
      <c r="A764" s="232"/>
      <c r="H764" s="231"/>
    </row>
    <row r="765" spans="1:8" s="226" customFormat="1" ht="9.75" customHeight="1">
      <c r="A765" s="232"/>
      <c r="H765" s="231"/>
    </row>
    <row r="766" spans="1:8" s="226" customFormat="1" ht="9.75" customHeight="1">
      <c r="A766" s="232"/>
      <c r="H766" s="231"/>
    </row>
    <row r="767" spans="1:8" s="226" customFormat="1" ht="9.75" customHeight="1">
      <c r="A767" s="232"/>
      <c r="H767" s="231"/>
    </row>
    <row r="768" spans="1:8" s="226" customFormat="1" ht="9.75" customHeight="1">
      <c r="A768" s="232"/>
      <c r="H768" s="231"/>
    </row>
    <row r="769" spans="1:8" s="226" customFormat="1" ht="9.75" customHeight="1">
      <c r="A769" s="232"/>
      <c r="H769" s="231"/>
    </row>
    <row r="770" spans="1:8" s="226" customFormat="1" ht="9.75" customHeight="1">
      <c r="A770" s="232"/>
      <c r="H770" s="231"/>
    </row>
    <row r="771" spans="1:8" s="226" customFormat="1" ht="9.75" customHeight="1">
      <c r="A771" s="232"/>
      <c r="H771" s="231"/>
    </row>
    <row r="772" spans="1:8" s="226" customFormat="1" ht="9.75" customHeight="1">
      <c r="A772" s="232"/>
      <c r="H772" s="231"/>
    </row>
    <row r="773" spans="1:8" s="226" customFormat="1" ht="9.75" customHeight="1">
      <c r="A773" s="232"/>
      <c r="H773" s="231"/>
    </row>
    <row r="774" spans="1:8" s="226" customFormat="1" ht="9.75" customHeight="1">
      <c r="A774" s="232"/>
      <c r="H774" s="231"/>
    </row>
    <row r="775" spans="1:8" s="226" customFormat="1" ht="9.75" customHeight="1">
      <c r="A775" s="232"/>
      <c r="H775" s="231"/>
    </row>
    <row r="776" spans="1:8" s="226" customFormat="1" ht="9.75" customHeight="1">
      <c r="A776" s="232"/>
      <c r="H776" s="231"/>
    </row>
    <row r="777" spans="1:8" s="226" customFormat="1" ht="9.75" customHeight="1">
      <c r="A777" s="232"/>
      <c r="H777" s="231"/>
    </row>
    <row r="778" spans="1:8" s="226" customFormat="1" ht="9.75" customHeight="1">
      <c r="A778" s="232"/>
      <c r="H778" s="231"/>
    </row>
    <row r="779" spans="1:8" s="226" customFormat="1" ht="9.75" customHeight="1">
      <c r="A779" s="232"/>
      <c r="H779" s="231"/>
    </row>
    <row r="780" spans="1:8" s="226" customFormat="1" ht="9.75" customHeight="1">
      <c r="A780" s="232"/>
      <c r="H780" s="231"/>
    </row>
    <row r="781" spans="1:8" s="226" customFormat="1" ht="9.75" customHeight="1">
      <c r="A781" s="232"/>
      <c r="H781" s="231"/>
    </row>
    <row r="782" spans="1:8" s="226" customFormat="1" ht="9.75" customHeight="1">
      <c r="A782" s="232"/>
      <c r="H782" s="231"/>
    </row>
    <row r="783" spans="1:8" s="226" customFormat="1" ht="9.75" customHeight="1">
      <c r="A783" s="232"/>
      <c r="H783" s="231"/>
    </row>
    <row r="784" spans="1:8" s="226" customFormat="1" ht="9.75" customHeight="1">
      <c r="A784" s="232"/>
      <c r="H784" s="231"/>
    </row>
    <row r="785" spans="1:8" s="226" customFormat="1" ht="9.75" customHeight="1">
      <c r="A785" s="232"/>
      <c r="H785" s="231"/>
    </row>
    <row r="786" spans="1:8" s="226" customFormat="1" ht="9.75" customHeight="1">
      <c r="A786" s="232"/>
      <c r="H786" s="231"/>
    </row>
    <row r="787" spans="1:8" s="226" customFormat="1" ht="9.75" customHeight="1">
      <c r="A787" s="232"/>
      <c r="H787" s="231"/>
    </row>
    <row r="788" spans="1:8" s="226" customFormat="1" ht="9.75" customHeight="1">
      <c r="A788" s="232"/>
      <c r="H788" s="231"/>
    </row>
    <row r="789" spans="1:8" s="226" customFormat="1" ht="9.75" customHeight="1">
      <c r="A789" s="232"/>
      <c r="H789" s="231"/>
    </row>
    <row r="790" spans="1:8" s="226" customFormat="1" ht="9.75" customHeight="1">
      <c r="A790" s="232"/>
      <c r="H790" s="231"/>
    </row>
    <row r="791" spans="1:8" s="226" customFormat="1" ht="9.75" customHeight="1">
      <c r="A791" s="232"/>
      <c r="H791" s="231"/>
    </row>
    <row r="792" spans="1:8" s="226" customFormat="1" ht="9.75" customHeight="1">
      <c r="A792" s="232"/>
      <c r="H792" s="231"/>
    </row>
    <row r="793" spans="1:8" s="226" customFormat="1" ht="9.75" customHeight="1">
      <c r="A793" s="232"/>
      <c r="H793" s="231"/>
    </row>
    <row r="794" spans="1:8" s="226" customFormat="1" ht="9.75" customHeight="1">
      <c r="A794" s="232"/>
      <c r="H794" s="231"/>
    </row>
    <row r="795" spans="1:8" s="226" customFormat="1" ht="9.75" customHeight="1">
      <c r="A795" s="232"/>
      <c r="H795" s="231"/>
    </row>
    <row r="796" spans="1:8" s="226" customFormat="1" ht="9.75" customHeight="1">
      <c r="A796" s="232"/>
      <c r="H796" s="231"/>
    </row>
    <row r="797" spans="1:8" s="226" customFormat="1" ht="9.75" customHeight="1">
      <c r="A797" s="232"/>
      <c r="H797" s="231"/>
    </row>
    <row r="798" spans="1:8" s="226" customFormat="1" ht="9.75" customHeight="1">
      <c r="A798" s="232"/>
      <c r="H798" s="231"/>
    </row>
    <row r="799" spans="1:8" s="226" customFormat="1" ht="9.75" customHeight="1">
      <c r="A799" s="232"/>
      <c r="H799" s="231"/>
    </row>
    <row r="800" spans="1:8" s="226" customFormat="1" ht="9.75" customHeight="1">
      <c r="A800" s="232"/>
      <c r="H800" s="231"/>
    </row>
    <row r="801" spans="1:8" s="226" customFormat="1" ht="9.75" customHeight="1">
      <c r="A801" s="232"/>
      <c r="H801" s="231"/>
    </row>
    <row r="802" spans="1:8" s="226" customFormat="1" ht="9.75" customHeight="1">
      <c r="A802" s="232"/>
      <c r="H802" s="231"/>
    </row>
    <row r="803" spans="1:8" s="226" customFormat="1" ht="9.75" customHeight="1">
      <c r="A803" s="232"/>
      <c r="H803" s="231"/>
    </row>
    <row r="804" spans="1:8" s="226" customFormat="1" ht="9.75" customHeight="1">
      <c r="A804" s="232"/>
      <c r="H804" s="231"/>
    </row>
    <row r="805" spans="1:8" s="226" customFormat="1" ht="9.75" customHeight="1">
      <c r="A805" s="232"/>
      <c r="H805" s="231"/>
    </row>
    <row r="806" spans="1:8" s="226" customFormat="1" ht="9.75" customHeight="1">
      <c r="A806" s="232"/>
      <c r="H806" s="231"/>
    </row>
    <row r="807" spans="1:8" s="226" customFormat="1" ht="9.75" customHeight="1">
      <c r="A807" s="232"/>
      <c r="H807" s="231"/>
    </row>
    <row r="808" spans="1:8" s="226" customFormat="1" ht="9.75" customHeight="1">
      <c r="A808" s="232"/>
      <c r="H808" s="231"/>
    </row>
    <row r="809" spans="1:8" s="226" customFormat="1" ht="9.75" customHeight="1">
      <c r="A809" s="232"/>
      <c r="H809" s="231"/>
    </row>
    <row r="810" spans="1:8" s="226" customFormat="1" ht="9.75" customHeight="1">
      <c r="A810" s="232"/>
      <c r="H810" s="231"/>
    </row>
    <row r="811" spans="1:8" s="226" customFormat="1" ht="9.75" customHeight="1">
      <c r="A811" s="232"/>
      <c r="H811" s="231"/>
    </row>
    <row r="812" spans="1:8" s="226" customFormat="1" ht="9.75" customHeight="1">
      <c r="A812" s="232"/>
      <c r="H812" s="231"/>
    </row>
    <row r="813" spans="1:8" s="226" customFormat="1" ht="9.75" customHeight="1">
      <c r="A813" s="232"/>
      <c r="H813" s="231"/>
    </row>
    <row r="814" spans="1:8" s="226" customFormat="1" ht="9.75" customHeight="1">
      <c r="A814" s="232"/>
      <c r="H814" s="231"/>
    </row>
    <row r="815" spans="1:8" s="226" customFormat="1" ht="9.75" customHeight="1">
      <c r="A815" s="232"/>
      <c r="H815" s="231"/>
    </row>
    <row r="816" spans="1:8" s="226" customFormat="1" ht="9.75" customHeight="1">
      <c r="A816" s="232"/>
      <c r="H816" s="231"/>
    </row>
    <row r="817" spans="1:8" s="226" customFormat="1" ht="9.75" customHeight="1">
      <c r="A817" s="232"/>
      <c r="H817" s="231"/>
    </row>
    <row r="818" spans="1:8" s="226" customFormat="1" ht="9.75" customHeight="1">
      <c r="A818" s="232"/>
      <c r="H818" s="231"/>
    </row>
    <row r="819" spans="1:8" s="226" customFormat="1" ht="9.75" customHeight="1">
      <c r="A819" s="232"/>
      <c r="H819" s="231"/>
    </row>
    <row r="820" spans="1:8" s="226" customFormat="1" ht="9.75" customHeight="1">
      <c r="A820" s="232"/>
      <c r="H820" s="231"/>
    </row>
    <row r="821" spans="1:8" s="226" customFormat="1" ht="9.75" customHeight="1">
      <c r="A821" s="232"/>
      <c r="H821" s="231"/>
    </row>
    <row r="822" spans="1:8" s="226" customFormat="1" ht="9.75" customHeight="1">
      <c r="A822" s="232"/>
      <c r="H822" s="231"/>
    </row>
    <row r="823" spans="1:8" s="226" customFormat="1" ht="9.75" customHeight="1">
      <c r="A823" s="232"/>
      <c r="H823" s="231"/>
    </row>
    <row r="824" spans="1:8" s="226" customFormat="1" ht="9.75" customHeight="1">
      <c r="A824" s="232"/>
      <c r="H824" s="231"/>
    </row>
    <row r="825" spans="1:8" s="226" customFormat="1" ht="9.75" customHeight="1">
      <c r="A825" s="232"/>
      <c r="H825" s="231"/>
    </row>
    <row r="826" spans="1:8" s="226" customFormat="1" ht="9.75" customHeight="1">
      <c r="A826" s="232"/>
      <c r="H826" s="231"/>
    </row>
    <row r="827" spans="1:8" s="226" customFormat="1" ht="9.75" customHeight="1">
      <c r="A827" s="232"/>
      <c r="H827" s="231"/>
    </row>
    <row r="828" spans="1:8" s="226" customFormat="1" ht="9.75" customHeight="1">
      <c r="A828" s="232"/>
      <c r="H828" s="231"/>
    </row>
    <row r="829" spans="1:8" s="226" customFormat="1" ht="9.75" customHeight="1">
      <c r="A829" s="232"/>
      <c r="H829" s="231"/>
    </row>
    <row r="830" spans="1:8" s="226" customFormat="1" ht="9.75" customHeight="1">
      <c r="A830" s="232"/>
      <c r="H830" s="231"/>
    </row>
    <row r="831" spans="1:8" s="226" customFormat="1" ht="9.75" customHeight="1">
      <c r="A831" s="232"/>
      <c r="H831" s="231"/>
    </row>
    <row r="832" spans="1:8" s="226" customFormat="1" ht="9.75" customHeight="1">
      <c r="A832" s="232"/>
      <c r="H832" s="231"/>
    </row>
    <row r="833" spans="1:8" s="226" customFormat="1" ht="9.75" customHeight="1">
      <c r="A833" s="232"/>
      <c r="H833" s="231"/>
    </row>
    <row r="834" spans="1:8" s="226" customFormat="1" ht="9.75" customHeight="1">
      <c r="A834" s="232"/>
      <c r="H834" s="231"/>
    </row>
    <row r="835" spans="1:8" s="226" customFormat="1" ht="9.75" customHeight="1">
      <c r="A835" s="232"/>
      <c r="H835" s="231"/>
    </row>
    <row r="836" spans="1:8" s="226" customFormat="1" ht="9.75" customHeight="1">
      <c r="A836" s="232"/>
      <c r="H836" s="231"/>
    </row>
    <row r="837" spans="1:8" s="226" customFormat="1" ht="9.75" customHeight="1">
      <c r="A837" s="232"/>
      <c r="H837" s="231"/>
    </row>
    <row r="838" spans="1:8" s="226" customFormat="1" ht="9.75" customHeight="1">
      <c r="A838" s="232"/>
      <c r="H838" s="231"/>
    </row>
    <row r="839" spans="1:8" s="226" customFormat="1" ht="9.75" customHeight="1">
      <c r="A839" s="232"/>
      <c r="H839" s="231"/>
    </row>
    <row r="840" spans="1:8" s="226" customFormat="1" ht="9.75" customHeight="1">
      <c r="A840" s="232"/>
      <c r="H840" s="231"/>
    </row>
    <row r="841" spans="1:8" s="226" customFormat="1" ht="9.75" customHeight="1">
      <c r="A841" s="232"/>
      <c r="H841" s="231"/>
    </row>
    <row r="842" spans="1:8" s="226" customFormat="1" ht="9.75" customHeight="1">
      <c r="A842" s="232"/>
      <c r="H842" s="231"/>
    </row>
    <row r="843" spans="1:8" s="226" customFormat="1" ht="9.75" customHeight="1">
      <c r="A843" s="232"/>
      <c r="H843" s="231"/>
    </row>
    <row r="844" spans="1:8" s="226" customFormat="1" ht="9.75" customHeight="1">
      <c r="A844" s="232"/>
      <c r="H844" s="231"/>
    </row>
    <row r="845" spans="1:8" s="226" customFormat="1" ht="9.75" customHeight="1">
      <c r="A845" s="232"/>
      <c r="H845" s="231"/>
    </row>
    <row r="846" spans="1:8" s="226" customFormat="1" ht="9.75" customHeight="1">
      <c r="A846" s="232"/>
      <c r="H846" s="231"/>
    </row>
    <row r="847" spans="1:8" s="226" customFormat="1" ht="9.75" customHeight="1">
      <c r="A847" s="232"/>
      <c r="H847" s="231"/>
    </row>
    <row r="848" spans="1:8" s="226" customFormat="1" ht="9.75" customHeight="1">
      <c r="A848" s="232"/>
      <c r="H848" s="231"/>
    </row>
    <row r="849" spans="1:8" s="226" customFormat="1" ht="9.75" customHeight="1">
      <c r="A849" s="232"/>
      <c r="H849" s="231"/>
    </row>
    <row r="850" spans="1:8" s="226" customFormat="1" ht="9.75" customHeight="1">
      <c r="A850" s="232"/>
      <c r="H850" s="231"/>
    </row>
    <row r="851" spans="1:8" s="226" customFormat="1" ht="9.75" customHeight="1">
      <c r="A851" s="232"/>
      <c r="H851" s="231"/>
    </row>
    <row r="852" spans="1:8" s="226" customFormat="1" ht="9.75" customHeight="1">
      <c r="A852" s="232"/>
      <c r="H852" s="231"/>
    </row>
    <row r="853" spans="1:8" s="226" customFormat="1" ht="9.75" customHeight="1">
      <c r="A853" s="232"/>
      <c r="H853" s="231"/>
    </row>
    <row r="854" spans="1:8" s="226" customFormat="1" ht="9.75" customHeight="1">
      <c r="A854" s="232"/>
      <c r="H854" s="231"/>
    </row>
    <row r="855" spans="1:8" s="226" customFormat="1" ht="9.75" customHeight="1">
      <c r="A855" s="232"/>
      <c r="H855" s="231"/>
    </row>
    <row r="856" spans="1:8" s="226" customFormat="1" ht="9.75" customHeight="1">
      <c r="A856" s="232"/>
      <c r="H856" s="231"/>
    </row>
    <row r="857" spans="1:8" s="226" customFormat="1" ht="9.75" customHeight="1">
      <c r="A857" s="232"/>
      <c r="H857" s="231"/>
    </row>
    <row r="858" spans="1:8" s="226" customFormat="1" ht="9.75" customHeight="1">
      <c r="A858" s="232"/>
      <c r="H858" s="231"/>
    </row>
    <row r="859" spans="1:8" s="226" customFormat="1" ht="9.75" customHeight="1">
      <c r="A859" s="232"/>
      <c r="H859" s="231"/>
    </row>
    <row r="860" spans="1:8" s="226" customFormat="1" ht="9.75" customHeight="1">
      <c r="A860" s="232"/>
      <c r="H860" s="231"/>
    </row>
    <row r="861" spans="1:8" s="226" customFormat="1" ht="9.75" customHeight="1">
      <c r="A861" s="232"/>
      <c r="H861" s="231"/>
    </row>
    <row r="862" spans="1:8" s="226" customFormat="1" ht="9.75" customHeight="1">
      <c r="A862" s="232"/>
      <c r="H862" s="231"/>
    </row>
    <row r="863" spans="1:8" s="226" customFormat="1" ht="9.75" customHeight="1">
      <c r="A863" s="232"/>
      <c r="H863" s="231"/>
    </row>
    <row r="864" spans="1:8" s="226" customFormat="1" ht="9.75" customHeight="1">
      <c r="A864" s="232"/>
      <c r="H864" s="231"/>
    </row>
    <row r="865" spans="1:8" s="226" customFormat="1" ht="9.75" customHeight="1">
      <c r="A865" s="232"/>
      <c r="H865" s="231"/>
    </row>
    <row r="866" spans="1:8" s="226" customFormat="1" ht="9.75" customHeight="1">
      <c r="A866" s="232"/>
      <c r="H866" s="231"/>
    </row>
    <row r="867" spans="1:8" s="226" customFormat="1" ht="9.75" customHeight="1">
      <c r="A867" s="232"/>
      <c r="H867" s="231"/>
    </row>
    <row r="868" spans="1:8" s="226" customFormat="1" ht="9.75" customHeight="1">
      <c r="A868" s="232"/>
      <c r="H868" s="231"/>
    </row>
    <row r="869" spans="1:8" s="226" customFormat="1" ht="9.75" customHeight="1">
      <c r="A869" s="232"/>
      <c r="H869" s="231"/>
    </row>
    <row r="870" spans="1:8" s="226" customFormat="1" ht="9.75" customHeight="1">
      <c r="A870" s="232"/>
      <c r="H870" s="231"/>
    </row>
    <row r="871" spans="1:8" s="226" customFormat="1" ht="9.75" customHeight="1">
      <c r="A871" s="232"/>
      <c r="H871" s="231"/>
    </row>
    <row r="872" spans="1:8" s="226" customFormat="1" ht="9.75" customHeight="1">
      <c r="A872" s="232"/>
      <c r="H872" s="231"/>
    </row>
    <row r="873" spans="1:8" s="226" customFormat="1" ht="9.75" customHeight="1">
      <c r="A873" s="232"/>
      <c r="H873" s="231"/>
    </row>
    <row r="874" spans="1:8" s="226" customFormat="1" ht="9.75" customHeight="1">
      <c r="A874" s="232"/>
      <c r="H874" s="231"/>
    </row>
    <row r="875" spans="1:8" s="226" customFormat="1" ht="9.75" customHeight="1">
      <c r="A875" s="232"/>
      <c r="H875" s="231"/>
    </row>
    <row r="876" spans="1:8" s="226" customFormat="1" ht="9.75" customHeight="1">
      <c r="A876" s="232"/>
      <c r="H876" s="231"/>
    </row>
    <row r="877" spans="1:8" s="226" customFormat="1" ht="9.75" customHeight="1">
      <c r="A877" s="232"/>
      <c r="H877" s="231"/>
    </row>
    <row r="878" spans="1:8" s="226" customFormat="1" ht="9.75" customHeight="1">
      <c r="A878" s="232"/>
      <c r="H878" s="231"/>
    </row>
    <row r="879" spans="1:8" s="226" customFormat="1" ht="9.75" customHeight="1">
      <c r="A879" s="232"/>
      <c r="H879" s="231"/>
    </row>
    <row r="880" spans="1:8" s="226" customFormat="1" ht="9.75" customHeight="1">
      <c r="A880" s="232"/>
      <c r="H880" s="231"/>
    </row>
    <row r="881" spans="1:8" s="226" customFormat="1" ht="9.75" customHeight="1">
      <c r="A881" s="232"/>
      <c r="H881" s="231"/>
    </row>
    <row r="882" spans="1:8" s="226" customFormat="1" ht="9.75" customHeight="1">
      <c r="A882" s="232"/>
      <c r="H882" s="231"/>
    </row>
    <row r="883" spans="1:8" s="226" customFormat="1" ht="9.75" customHeight="1">
      <c r="A883" s="232"/>
      <c r="H883" s="231"/>
    </row>
    <row r="884" spans="1:8" s="226" customFormat="1" ht="9.75" customHeight="1">
      <c r="A884" s="232"/>
      <c r="H884" s="231"/>
    </row>
    <row r="885" spans="1:8" s="226" customFormat="1" ht="9.75" customHeight="1">
      <c r="A885" s="232"/>
      <c r="H885" s="231"/>
    </row>
    <row r="886" spans="1:8" s="226" customFormat="1" ht="9.75" customHeight="1">
      <c r="A886" s="232"/>
      <c r="H886" s="231"/>
    </row>
    <row r="887" spans="1:8" s="226" customFormat="1" ht="9.75" customHeight="1">
      <c r="A887" s="232"/>
      <c r="H887" s="231"/>
    </row>
    <row r="888" spans="1:8" s="226" customFormat="1" ht="9.75" customHeight="1">
      <c r="A888" s="232"/>
      <c r="H888" s="231"/>
    </row>
    <row r="889" spans="1:8" s="226" customFormat="1" ht="9.75" customHeight="1">
      <c r="A889" s="232"/>
      <c r="H889" s="231"/>
    </row>
    <row r="890" spans="1:8" s="226" customFormat="1" ht="9.75" customHeight="1">
      <c r="A890" s="232"/>
      <c r="H890" s="231"/>
    </row>
    <row r="891" spans="1:8" s="226" customFormat="1" ht="9.75" customHeight="1">
      <c r="A891" s="232"/>
      <c r="H891" s="231"/>
    </row>
    <row r="892" spans="1:8" s="226" customFormat="1" ht="9.75" customHeight="1">
      <c r="A892" s="232"/>
      <c r="H892" s="231"/>
    </row>
    <row r="893" spans="1:8" s="226" customFormat="1" ht="9.75" customHeight="1">
      <c r="A893" s="232"/>
      <c r="H893" s="231"/>
    </row>
    <row r="894" spans="1:8" s="226" customFormat="1" ht="9.75" customHeight="1">
      <c r="A894" s="232"/>
      <c r="H894" s="231"/>
    </row>
    <row r="895" spans="1:8" s="226" customFormat="1" ht="9.75" customHeight="1">
      <c r="A895" s="232"/>
      <c r="H895" s="231"/>
    </row>
    <row r="896" spans="1:8" s="226" customFormat="1" ht="9.75" customHeight="1">
      <c r="A896" s="232"/>
      <c r="H896" s="231"/>
    </row>
    <row r="897" spans="1:8" s="226" customFormat="1" ht="9.75" customHeight="1">
      <c r="A897" s="232"/>
      <c r="H897" s="231"/>
    </row>
    <row r="898" spans="1:8" s="226" customFormat="1" ht="9.75" customHeight="1">
      <c r="A898" s="232"/>
      <c r="H898" s="231"/>
    </row>
    <row r="899" spans="1:8" s="226" customFormat="1" ht="9.75" customHeight="1">
      <c r="A899" s="232"/>
      <c r="H899" s="231"/>
    </row>
    <row r="900" spans="1:8" s="226" customFormat="1" ht="9.75" customHeight="1">
      <c r="A900" s="232"/>
      <c r="H900" s="231"/>
    </row>
    <row r="901" spans="1:8" s="226" customFormat="1" ht="9.75" customHeight="1">
      <c r="A901" s="232"/>
      <c r="H901" s="231"/>
    </row>
    <row r="902" spans="1:8" s="226" customFormat="1" ht="9.75" customHeight="1">
      <c r="A902" s="232"/>
      <c r="H902" s="231"/>
    </row>
    <row r="903" spans="1:8" s="226" customFormat="1" ht="9.75" customHeight="1">
      <c r="A903" s="232"/>
      <c r="H903" s="231"/>
    </row>
    <row r="904" spans="1:8" s="226" customFormat="1" ht="9.75" customHeight="1">
      <c r="A904" s="232"/>
      <c r="H904" s="231"/>
    </row>
    <row r="905" spans="1:8" s="226" customFormat="1" ht="9.75" customHeight="1">
      <c r="A905" s="232"/>
      <c r="H905" s="231"/>
    </row>
    <row r="906" spans="1:8" s="226" customFormat="1" ht="9.75" customHeight="1">
      <c r="A906" s="232"/>
      <c r="H906" s="231"/>
    </row>
    <row r="907" spans="1:8" s="226" customFormat="1" ht="9.75" customHeight="1">
      <c r="A907" s="232"/>
      <c r="H907" s="231"/>
    </row>
    <row r="908" spans="1:8" s="226" customFormat="1" ht="9.75" customHeight="1">
      <c r="A908" s="232"/>
      <c r="H908" s="231"/>
    </row>
    <row r="909" spans="1:8" s="226" customFormat="1" ht="9.75" customHeight="1">
      <c r="A909" s="232"/>
      <c r="H909" s="231"/>
    </row>
    <row r="910" spans="1:8" s="226" customFormat="1" ht="9.75" customHeight="1">
      <c r="A910" s="232"/>
      <c r="H910" s="231"/>
    </row>
    <row r="911" spans="1:8" s="226" customFormat="1" ht="9.75" customHeight="1">
      <c r="A911" s="232"/>
      <c r="H911" s="231"/>
    </row>
    <row r="912" spans="1:8" s="226" customFormat="1" ht="9.75" customHeight="1">
      <c r="A912" s="232"/>
      <c r="H912" s="231"/>
    </row>
    <row r="913" spans="1:8" s="226" customFormat="1" ht="9.75" customHeight="1">
      <c r="A913" s="232"/>
      <c r="H913" s="231"/>
    </row>
    <row r="914" spans="1:8" s="226" customFormat="1" ht="9.75" customHeight="1">
      <c r="A914" s="232"/>
      <c r="H914" s="231"/>
    </row>
    <row r="915" spans="1:8" s="226" customFormat="1" ht="9.75" customHeight="1">
      <c r="A915" s="232"/>
      <c r="H915" s="231"/>
    </row>
    <row r="916" spans="1:8" s="226" customFormat="1" ht="9.75" customHeight="1">
      <c r="A916" s="232"/>
      <c r="H916" s="231"/>
    </row>
    <row r="917" spans="1:8" s="226" customFormat="1" ht="9.75" customHeight="1">
      <c r="A917" s="232"/>
      <c r="H917" s="231"/>
    </row>
    <row r="918" spans="1:8" s="226" customFormat="1" ht="9.75" customHeight="1">
      <c r="A918" s="232"/>
      <c r="H918" s="231"/>
    </row>
    <row r="919" spans="1:8" s="226" customFormat="1" ht="9.75" customHeight="1">
      <c r="A919" s="232"/>
      <c r="H919" s="231"/>
    </row>
    <row r="920" spans="1:8" s="226" customFormat="1" ht="9.75" customHeight="1">
      <c r="A920" s="232"/>
      <c r="H920" s="231"/>
    </row>
    <row r="921" spans="1:8" s="226" customFormat="1" ht="9.75" customHeight="1">
      <c r="A921" s="232"/>
      <c r="H921" s="231"/>
    </row>
    <row r="922" spans="1:8" s="226" customFormat="1" ht="9.75" customHeight="1">
      <c r="A922" s="232"/>
      <c r="H922" s="231"/>
    </row>
    <row r="923" spans="1:8" s="226" customFormat="1" ht="9.75" customHeight="1">
      <c r="A923" s="232"/>
      <c r="H923" s="231"/>
    </row>
    <row r="924" spans="1:8" s="226" customFormat="1" ht="9.75" customHeight="1">
      <c r="A924" s="232"/>
      <c r="H924" s="231"/>
    </row>
    <row r="925" spans="1:8" s="226" customFormat="1" ht="9.75" customHeight="1">
      <c r="A925" s="232"/>
      <c r="H925" s="231"/>
    </row>
    <row r="926" spans="1:8" s="226" customFormat="1" ht="9.75" customHeight="1">
      <c r="A926" s="232"/>
      <c r="H926" s="231"/>
    </row>
    <row r="927" spans="1:8" s="226" customFormat="1" ht="9.75" customHeight="1">
      <c r="A927" s="232"/>
      <c r="H927" s="231"/>
    </row>
    <row r="928" spans="1:8" s="226" customFormat="1" ht="9.75" customHeight="1">
      <c r="A928" s="232"/>
      <c r="H928" s="231"/>
    </row>
    <row r="929" spans="1:8" s="226" customFormat="1" ht="9.75" customHeight="1">
      <c r="A929" s="232"/>
      <c r="H929" s="231"/>
    </row>
    <row r="930" spans="1:8" s="226" customFormat="1" ht="9.75" customHeight="1">
      <c r="A930" s="232"/>
      <c r="H930" s="231"/>
    </row>
    <row r="931" spans="1:8" s="226" customFormat="1" ht="9.75" customHeight="1">
      <c r="A931" s="232"/>
      <c r="H931" s="231"/>
    </row>
    <row r="932" spans="1:8" s="226" customFormat="1" ht="9.75" customHeight="1">
      <c r="A932" s="232"/>
      <c r="H932" s="231"/>
    </row>
    <row r="933" spans="1:8" s="226" customFormat="1" ht="9.75" customHeight="1">
      <c r="A933" s="232"/>
      <c r="H933" s="231"/>
    </row>
    <row r="934" spans="1:8" s="226" customFormat="1" ht="9.75" customHeight="1">
      <c r="A934" s="232"/>
      <c r="H934" s="231"/>
    </row>
    <row r="935" spans="1:8" s="226" customFormat="1" ht="9.75" customHeight="1">
      <c r="A935" s="232"/>
      <c r="H935" s="231"/>
    </row>
    <row r="936" spans="1:8" s="226" customFormat="1" ht="9.75" customHeight="1">
      <c r="A936" s="232"/>
      <c r="H936" s="231"/>
    </row>
    <row r="937" spans="1:8" s="226" customFormat="1" ht="9.75" customHeight="1">
      <c r="A937" s="232"/>
      <c r="H937" s="231"/>
    </row>
    <row r="938" spans="1:8" s="226" customFormat="1" ht="9.75" customHeight="1">
      <c r="A938" s="232"/>
      <c r="H938" s="231"/>
    </row>
    <row r="939" spans="1:8" s="226" customFormat="1" ht="9.75" customHeight="1">
      <c r="A939" s="232"/>
      <c r="H939" s="231"/>
    </row>
    <row r="940" spans="1:8" s="226" customFormat="1" ht="9.75" customHeight="1">
      <c r="A940" s="232"/>
      <c r="H940" s="231"/>
    </row>
    <row r="941" spans="1:8" s="226" customFormat="1" ht="9.75" customHeight="1">
      <c r="A941" s="232"/>
      <c r="H941" s="231"/>
    </row>
    <row r="942" spans="1:8" s="226" customFormat="1" ht="9.75" customHeight="1">
      <c r="A942" s="232"/>
      <c r="H942" s="231"/>
    </row>
    <row r="943" spans="1:8" s="226" customFormat="1" ht="9.75" customHeight="1">
      <c r="A943" s="232"/>
      <c r="H943" s="231"/>
    </row>
    <row r="944" spans="1:8" s="226" customFormat="1" ht="9.75" customHeight="1">
      <c r="A944" s="232"/>
      <c r="H944" s="231"/>
    </row>
    <row r="945" spans="1:8" s="226" customFormat="1" ht="9.75" customHeight="1">
      <c r="A945" s="232"/>
      <c r="H945" s="231"/>
    </row>
    <row r="946" spans="1:8" s="226" customFormat="1" ht="9.75" customHeight="1">
      <c r="A946" s="232"/>
      <c r="H946" s="231"/>
    </row>
    <row r="947" spans="1:8" s="226" customFormat="1" ht="9.75" customHeight="1">
      <c r="A947" s="232"/>
      <c r="H947" s="231"/>
    </row>
    <row r="948" spans="1:8" s="226" customFormat="1" ht="9.75" customHeight="1">
      <c r="A948" s="232"/>
      <c r="H948" s="231"/>
    </row>
    <row r="949" spans="1:8" s="226" customFormat="1" ht="9.75" customHeight="1">
      <c r="A949" s="232"/>
      <c r="H949" s="231"/>
    </row>
    <row r="950" spans="1:8" s="226" customFormat="1" ht="9.75" customHeight="1">
      <c r="A950" s="232"/>
      <c r="H950" s="231"/>
    </row>
    <row r="951" spans="1:8" s="226" customFormat="1" ht="9.75" customHeight="1">
      <c r="A951" s="232"/>
      <c r="H951" s="231"/>
    </row>
    <row r="952" spans="1:8" s="226" customFormat="1" ht="9.75" customHeight="1">
      <c r="A952" s="232"/>
      <c r="H952" s="231"/>
    </row>
    <row r="953" spans="1:8" s="226" customFormat="1" ht="9.75" customHeight="1">
      <c r="A953" s="232"/>
      <c r="H953" s="231"/>
    </row>
    <row r="954" spans="1:8" s="226" customFormat="1" ht="9.75" customHeight="1">
      <c r="A954" s="232"/>
      <c r="H954" s="231"/>
    </row>
    <row r="955" spans="1:8" s="226" customFormat="1" ht="9.75" customHeight="1">
      <c r="A955" s="232"/>
      <c r="H955" s="231"/>
    </row>
    <row r="956" spans="1:8" s="226" customFormat="1" ht="9.75" customHeight="1">
      <c r="A956" s="232"/>
      <c r="H956" s="231"/>
    </row>
    <row r="957" spans="1:8" s="226" customFormat="1" ht="9.75" customHeight="1">
      <c r="A957" s="232"/>
      <c r="H957" s="231"/>
    </row>
    <row r="958" spans="1:8" s="226" customFormat="1" ht="9.75" customHeight="1">
      <c r="A958" s="232"/>
      <c r="H958" s="231"/>
    </row>
    <row r="959" spans="1:8" s="226" customFormat="1" ht="9.75" customHeight="1">
      <c r="A959" s="232"/>
      <c r="H959" s="231"/>
    </row>
    <row r="960" spans="1:8" s="226" customFormat="1" ht="9.75" customHeight="1">
      <c r="A960" s="232"/>
      <c r="H960" s="231"/>
    </row>
    <row r="961" spans="1:8" s="226" customFormat="1" ht="9.75" customHeight="1">
      <c r="A961" s="232"/>
      <c r="H961" s="231"/>
    </row>
    <row r="962" spans="1:8" s="226" customFormat="1" ht="9.75" customHeight="1">
      <c r="A962" s="232"/>
      <c r="H962" s="231"/>
    </row>
    <row r="963" spans="1:8" s="226" customFormat="1" ht="9.75" customHeight="1">
      <c r="A963" s="232"/>
      <c r="H963" s="231"/>
    </row>
    <row r="964" spans="1:8" s="226" customFormat="1" ht="9.75" customHeight="1">
      <c r="A964" s="232"/>
      <c r="H964" s="231"/>
    </row>
    <row r="965" spans="1:8" s="226" customFormat="1" ht="9.75" customHeight="1">
      <c r="A965" s="232"/>
      <c r="H965" s="231"/>
    </row>
    <row r="966" spans="1:8" s="226" customFormat="1" ht="9.75" customHeight="1">
      <c r="A966" s="232"/>
      <c r="H966" s="231"/>
    </row>
    <row r="967" spans="1:8" s="226" customFormat="1" ht="9.75" customHeight="1">
      <c r="A967" s="232"/>
      <c r="H967" s="231"/>
    </row>
    <row r="968" spans="1:8" s="226" customFormat="1" ht="9.75" customHeight="1">
      <c r="A968" s="232"/>
      <c r="H968" s="231"/>
    </row>
    <row r="969" spans="1:8" s="226" customFormat="1" ht="9.75" customHeight="1">
      <c r="A969" s="232"/>
      <c r="H969" s="231"/>
    </row>
    <row r="970" spans="1:8" s="226" customFormat="1" ht="9.75" customHeight="1">
      <c r="A970" s="232"/>
      <c r="H970" s="231"/>
    </row>
    <row r="971" spans="1:8" s="226" customFormat="1" ht="9.75" customHeight="1">
      <c r="A971" s="232"/>
      <c r="H971" s="231"/>
    </row>
    <row r="972" spans="1:8" s="226" customFormat="1" ht="9.75" customHeight="1">
      <c r="A972" s="232"/>
      <c r="H972" s="231"/>
    </row>
    <row r="973" spans="1:8" s="226" customFormat="1" ht="9.75" customHeight="1">
      <c r="A973" s="232"/>
      <c r="H973" s="231"/>
    </row>
    <row r="974" spans="1:8" s="226" customFormat="1" ht="9.75" customHeight="1">
      <c r="A974" s="232"/>
      <c r="H974" s="231"/>
    </row>
    <row r="975" spans="1:8" s="226" customFormat="1" ht="9.75" customHeight="1">
      <c r="A975" s="232"/>
      <c r="H975" s="231"/>
    </row>
    <row r="976" spans="1:8" s="226" customFormat="1" ht="9.75" customHeight="1">
      <c r="A976" s="232"/>
      <c r="H976" s="231"/>
    </row>
    <row r="977" spans="1:8" s="226" customFormat="1" ht="9.75" customHeight="1">
      <c r="A977" s="232"/>
      <c r="H977" s="231"/>
    </row>
    <row r="978" spans="1:8" s="226" customFormat="1" ht="9.75" customHeight="1">
      <c r="A978" s="232"/>
      <c r="H978" s="231"/>
    </row>
    <row r="979" spans="1:8" s="226" customFormat="1" ht="9.75" customHeight="1">
      <c r="A979" s="232"/>
      <c r="H979" s="231"/>
    </row>
    <row r="980" spans="1:8" s="226" customFormat="1" ht="9.75" customHeight="1">
      <c r="A980" s="232"/>
      <c r="H980" s="231"/>
    </row>
    <row r="981" spans="1:8" s="226" customFormat="1" ht="9.75" customHeight="1">
      <c r="A981" s="232"/>
      <c r="H981" s="231"/>
    </row>
    <row r="982" spans="1:8" s="226" customFormat="1" ht="9.75" customHeight="1">
      <c r="A982" s="232"/>
      <c r="H982" s="231"/>
    </row>
    <row r="983" spans="1:8" s="226" customFormat="1" ht="9.75" customHeight="1">
      <c r="A983" s="232"/>
      <c r="H983" s="231"/>
    </row>
    <row r="984" spans="1:8" s="226" customFormat="1" ht="9.75" customHeight="1">
      <c r="A984" s="232"/>
      <c r="H984" s="231"/>
    </row>
    <row r="985" spans="1:8" s="226" customFormat="1" ht="9.75" customHeight="1">
      <c r="A985" s="232"/>
      <c r="H985" s="231"/>
    </row>
    <row r="986" spans="1:8" s="226" customFormat="1" ht="9.75" customHeight="1">
      <c r="A986" s="232"/>
      <c r="H986" s="231"/>
    </row>
    <row r="987" spans="1:8" s="226" customFormat="1" ht="9.75" customHeight="1">
      <c r="A987" s="232"/>
      <c r="H987" s="231"/>
    </row>
    <row r="988" spans="1:8" s="226" customFormat="1" ht="9.75" customHeight="1">
      <c r="A988" s="232"/>
      <c r="H988" s="231"/>
    </row>
    <row r="989" spans="1:8" s="226" customFormat="1" ht="9.75" customHeight="1">
      <c r="A989" s="232"/>
      <c r="H989" s="231"/>
    </row>
    <row r="990" spans="1:8" s="226" customFormat="1" ht="9.75" customHeight="1">
      <c r="A990" s="232"/>
      <c r="H990" s="231"/>
    </row>
    <row r="991" spans="1:8" s="226" customFormat="1" ht="9.75" customHeight="1">
      <c r="A991" s="232"/>
      <c r="H991" s="231"/>
    </row>
    <row r="992" spans="1:8" s="226" customFormat="1" ht="9.75" customHeight="1">
      <c r="A992" s="232"/>
      <c r="H992" s="231"/>
    </row>
    <row r="993" spans="1:8" s="226" customFormat="1" ht="9.75" customHeight="1">
      <c r="A993" s="232"/>
      <c r="H993" s="231"/>
    </row>
    <row r="994" spans="1:8" s="226" customFormat="1" ht="9.75" customHeight="1">
      <c r="A994" s="232"/>
      <c r="H994" s="231"/>
    </row>
    <row r="995" spans="1:8" s="226" customFormat="1" ht="9.75" customHeight="1">
      <c r="A995" s="232"/>
      <c r="H995" s="231"/>
    </row>
    <row r="996" spans="1:8" s="226" customFormat="1" ht="9.75" customHeight="1">
      <c r="A996" s="232"/>
      <c r="H996" s="231"/>
    </row>
    <row r="997" spans="1:8" s="226" customFormat="1" ht="9.75" customHeight="1">
      <c r="A997" s="232"/>
      <c r="H997" s="231"/>
    </row>
    <row r="998" spans="1:8" s="226" customFormat="1" ht="9.75" customHeight="1">
      <c r="A998" s="232"/>
      <c r="H998" s="231"/>
    </row>
    <row r="999" spans="1:8" s="226" customFormat="1" ht="9.75" customHeight="1">
      <c r="A999" s="232"/>
      <c r="H999" s="231"/>
    </row>
    <row r="1000" spans="1:8" s="226" customFormat="1" ht="9.75" customHeight="1">
      <c r="A1000" s="232"/>
      <c r="H1000" s="231"/>
    </row>
    <row r="1001" spans="1:8" s="226" customFormat="1" ht="9.75" customHeight="1">
      <c r="A1001" s="232"/>
      <c r="H1001" s="231"/>
    </row>
    <row r="1002" spans="1:8" s="226" customFormat="1" ht="9.75" customHeight="1">
      <c r="A1002" s="232"/>
      <c r="H1002" s="231"/>
    </row>
    <row r="1003" spans="1:8" s="226" customFormat="1" ht="9.75" customHeight="1">
      <c r="A1003" s="232"/>
      <c r="H1003" s="231"/>
    </row>
    <row r="1004" spans="1:8" s="226" customFormat="1" ht="9.75" customHeight="1">
      <c r="A1004" s="232"/>
      <c r="H1004" s="231"/>
    </row>
    <row r="1005" spans="1:8" s="226" customFormat="1" ht="9.75" customHeight="1">
      <c r="A1005" s="232"/>
      <c r="H1005" s="231"/>
    </row>
    <row r="1006" spans="1:8" s="226" customFormat="1" ht="9.75" customHeight="1">
      <c r="A1006" s="232"/>
      <c r="H1006" s="231"/>
    </row>
    <row r="1007" spans="1:8" s="226" customFormat="1" ht="9.75" customHeight="1">
      <c r="A1007" s="232"/>
      <c r="H1007" s="231"/>
    </row>
    <row r="1008" spans="1:8" s="226" customFormat="1" ht="9.75" customHeight="1">
      <c r="A1008" s="232"/>
      <c r="H1008" s="231"/>
    </row>
    <row r="1009" spans="1:8" s="226" customFormat="1" ht="9.75" customHeight="1">
      <c r="A1009" s="232"/>
      <c r="H1009" s="231"/>
    </row>
    <row r="1010" spans="1:8" s="226" customFormat="1" ht="9.75" customHeight="1">
      <c r="A1010" s="232"/>
      <c r="H1010" s="231"/>
    </row>
    <row r="1011" spans="1:8" s="226" customFormat="1" ht="9.75" customHeight="1">
      <c r="A1011" s="232"/>
      <c r="H1011" s="231"/>
    </row>
    <row r="1012" spans="1:8" s="226" customFormat="1" ht="9.75" customHeight="1">
      <c r="A1012" s="232"/>
      <c r="H1012" s="231"/>
    </row>
    <row r="1013" spans="1:8" s="226" customFormat="1" ht="9.75" customHeight="1">
      <c r="A1013" s="232"/>
      <c r="H1013" s="231"/>
    </row>
    <row r="1014" spans="1:8" s="226" customFormat="1" ht="9.75" customHeight="1">
      <c r="A1014" s="232"/>
      <c r="H1014" s="231"/>
    </row>
    <row r="1015" spans="1:8" s="226" customFormat="1" ht="9.75" customHeight="1">
      <c r="A1015" s="232"/>
      <c r="H1015" s="231"/>
    </row>
    <row r="1016" spans="1:8" s="226" customFormat="1" ht="9.75" customHeight="1">
      <c r="A1016" s="232"/>
      <c r="H1016" s="231"/>
    </row>
    <row r="1017" spans="1:8" s="226" customFormat="1" ht="9.75" customHeight="1">
      <c r="A1017" s="232"/>
      <c r="H1017" s="231"/>
    </row>
    <row r="1018" spans="1:8" s="226" customFormat="1" ht="9.75" customHeight="1">
      <c r="A1018" s="232"/>
      <c r="H1018" s="231"/>
    </row>
    <row r="1019" spans="1:8" s="226" customFormat="1" ht="9.75" customHeight="1">
      <c r="A1019" s="232"/>
      <c r="H1019" s="231"/>
    </row>
    <row r="1020" spans="1:8" s="226" customFormat="1" ht="9.75" customHeight="1">
      <c r="A1020" s="232"/>
      <c r="H1020" s="231"/>
    </row>
    <row r="1021" spans="1:8" s="226" customFormat="1" ht="9.75" customHeight="1">
      <c r="A1021" s="232"/>
      <c r="H1021" s="231"/>
    </row>
    <row r="1022" spans="1:8" s="226" customFormat="1" ht="9.75" customHeight="1">
      <c r="A1022" s="232"/>
      <c r="H1022" s="231"/>
    </row>
    <row r="1023" spans="1:8" s="226" customFormat="1" ht="9.75" customHeight="1">
      <c r="A1023" s="232"/>
      <c r="H1023" s="231"/>
    </row>
    <row r="1024" spans="1:8" s="226" customFormat="1" ht="9.75" customHeight="1">
      <c r="A1024" s="232"/>
      <c r="H1024" s="231"/>
    </row>
    <row r="1025" spans="1:8" s="226" customFormat="1" ht="9.75" customHeight="1">
      <c r="A1025" s="232"/>
      <c r="H1025" s="231"/>
    </row>
    <row r="1026" spans="1:8" s="226" customFormat="1" ht="9.75" customHeight="1">
      <c r="A1026" s="232"/>
      <c r="H1026" s="231"/>
    </row>
    <row r="1027" spans="1:8" s="226" customFormat="1" ht="9.75" customHeight="1">
      <c r="A1027" s="232"/>
      <c r="H1027" s="231"/>
    </row>
    <row r="1028" spans="1:8" s="226" customFormat="1" ht="9.75" customHeight="1">
      <c r="A1028" s="232"/>
      <c r="H1028" s="231"/>
    </row>
    <row r="1029" spans="1:8" s="226" customFormat="1" ht="9.75" customHeight="1">
      <c r="A1029" s="232"/>
      <c r="H1029" s="231"/>
    </row>
    <row r="1030" spans="1:8" s="226" customFormat="1" ht="9.75" customHeight="1">
      <c r="A1030" s="232"/>
      <c r="H1030" s="231"/>
    </row>
    <row r="1031" spans="1:8" s="226" customFormat="1" ht="9.75" customHeight="1">
      <c r="A1031" s="232"/>
      <c r="H1031" s="231"/>
    </row>
    <row r="1032" spans="1:8" s="226" customFormat="1" ht="9.75" customHeight="1">
      <c r="A1032" s="232"/>
      <c r="H1032" s="231"/>
    </row>
    <row r="1033" spans="1:8" s="226" customFormat="1" ht="9.75" customHeight="1">
      <c r="A1033" s="232"/>
      <c r="H1033" s="231"/>
    </row>
    <row r="1034" spans="1:8" s="226" customFormat="1" ht="9.75" customHeight="1">
      <c r="A1034" s="232"/>
      <c r="H1034" s="231"/>
    </row>
    <row r="1035" spans="1:8" s="226" customFormat="1" ht="9.75" customHeight="1">
      <c r="A1035" s="232"/>
      <c r="H1035" s="231"/>
    </row>
    <row r="1036" spans="1:8" s="226" customFormat="1" ht="9.75" customHeight="1">
      <c r="A1036" s="232"/>
      <c r="H1036" s="231"/>
    </row>
    <row r="1037" spans="1:8" s="226" customFormat="1" ht="9.75" customHeight="1">
      <c r="A1037" s="232"/>
      <c r="H1037" s="231"/>
    </row>
    <row r="1038" spans="1:8" s="226" customFormat="1" ht="9.75" customHeight="1">
      <c r="A1038" s="232"/>
      <c r="H1038" s="231"/>
    </row>
    <row r="1039" spans="1:8" s="226" customFormat="1" ht="9.75" customHeight="1">
      <c r="A1039" s="232"/>
      <c r="H1039" s="231"/>
    </row>
    <row r="1040" spans="1:8" s="226" customFormat="1" ht="9.75" customHeight="1">
      <c r="A1040" s="232"/>
      <c r="H1040" s="231"/>
    </row>
    <row r="1041" spans="1:8" s="226" customFormat="1" ht="9.75" customHeight="1">
      <c r="A1041" s="232"/>
      <c r="H1041" s="231"/>
    </row>
    <row r="1042" spans="1:8" s="226" customFormat="1" ht="9.75" customHeight="1">
      <c r="A1042" s="232"/>
      <c r="H1042" s="231"/>
    </row>
    <row r="1043" spans="1:8" s="226" customFormat="1" ht="9.75" customHeight="1">
      <c r="A1043" s="232"/>
      <c r="H1043" s="231"/>
    </row>
    <row r="1044" spans="1:8" s="226" customFormat="1" ht="9.75" customHeight="1">
      <c r="A1044" s="232"/>
      <c r="H1044" s="231"/>
    </row>
    <row r="1045" spans="1:8" s="226" customFormat="1" ht="9.75" customHeight="1">
      <c r="A1045" s="232"/>
      <c r="H1045" s="231"/>
    </row>
    <row r="1046" spans="1:8" s="226" customFormat="1" ht="9.75" customHeight="1">
      <c r="A1046" s="232"/>
      <c r="H1046" s="231"/>
    </row>
    <row r="1047" spans="1:8" s="226" customFormat="1" ht="9.75" customHeight="1">
      <c r="A1047" s="232"/>
      <c r="H1047" s="231"/>
    </row>
    <row r="1048" spans="1:8" s="226" customFormat="1" ht="9.75" customHeight="1">
      <c r="A1048" s="232"/>
      <c r="H1048" s="231"/>
    </row>
    <row r="1049" spans="1:8" s="226" customFormat="1" ht="9.75" customHeight="1">
      <c r="A1049" s="232"/>
      <c r="H1049" s="231"/>
    </row>
    <row r="1050" spans="1:8" s="226" customFormat="1" ht="9.75" customHeight="1">
      <c r="A1050" s="232"/>
      <c r="H1050" s="231"/>
    </row>
    <row r="1051" spans="1:8" s="226" customFormat="1" ht="9.75" customHeight="1">
      <c r="A1051" s="232"/>
      <c r="H1051" s="231"/>
    </row>
    <row r="1052" spans="1:8" s="226" customFormat="1" ht="9.75" customHeight="1">
      <c r="A1052" s="232"/>
      <c r="H1052" s="231"/>
    </row>
    <row r="1053" spans="1:8" s="226" customFormat="1" ht="9.75" customHeight="1">
      <c r="A1053" s="232"/>
      <c r="H1053" s="231"/>
    </row>
    <row r="1054" spans="1:8" s="226" customFormat="1" ht="9.75" customHeight="1">
      <c r="A1054" s="232"/>
      <c r="H1054" s="231"/>
    </row>
    <row r="1055" spans="1:8" s="226" customFormat="1" ht="9.75" customHeight="1">
      <c r="A1055" s="232"/>
      <c r="H1055" s="231"/>
    </row>
    <row r="1056" spans="1:8" s="226" customFormat="1" ht="9.75" customHeight="1">
      <c r="A1056" s="232"/>
      <c r="H1056" s="231"/>
    </row>
    <row r="1057" spans="1:8" s="226" customFormat="1" ht="9.75" customHeight="1">
      <c r="A1057" s="232"/>
      <c r="H1057" s="231"/>
    </row>
    <row r="1058" spans="1:8" s="226" customFormat="1" ht="9.75" customHeight="1">
      <c r="A1058" s="232"/>
      <c r="H1058" s="231"/>
    </row>
    <row r="1059" spans="1:8" s="226" customFormat="1" ht="9.75" customHeight="1">
      <c r="A1059" s="232"/>
      <c r="H1059" s="231"/>
    </row>
    <row r="1060" spans="1:8" s="226" customFormat="1" ht="9.75" customHeight="1">
      <c r="A1060" s="232"/>
      <c r="H1060" s="231"/>
    </row>
    <row r="1061" spans="1:8" s="226" customFormat="1" ht="9.75" customHeight="1">
      <c r="A1061" s="232"/>
      <c r="H1061" s="231"/>
    </row>
    <row r="1062" spans="1:8" s="226" customFormat="1" ht="9.75" customHeight="1">
      <c r="A1062" s="232"/>
      <c r="H1062" s="231"/>
    </row>
    <row r="1063" spans="1:8" s="226" customFormat="1" ht="9.75" customHeight="1">
      <c r="A1063" s="232"/>
      <c r="H1063" s="231"/>
    </row>
    <row r="1064" spans="1:8" s="226" customFormat="1" ht="9.75" customHeight="1">
      <c r="A1064" s="232"/>
      <c r="H1064" s="231"/>
    </row>
    <row r="1065" spans="1:8" s="226" customFormat="1" ht="9.75" customHeight="1">
      <c r="A1065" s="232"/>
      <c r="H1065" s="231"/>
    </row>
    <row r="1066" spans="1:8" s="226" customFormat="1" ht="9.75" customHeight="1">
      <c r="A1066" s="232"/>
      <c r="H1066" s="231"/>
    </row>
    <row r="1067" spans="1:8" s="226" customFormat="1" ht="9.75" customHeight="1">
      <c r="A1067" s="232"/>
      <c r="H1067" s="231"/>
    </row>
    <row r="1068" spans="1:8" s="226" customFormat="1" ht="9.75" customHeight="1">
      <c r="A1068" s="232"/>
      <c r="H1068" s="231"/>
    </row>
    <row r="1069" spans="1:8" s="226" customFormat="1" ht="9.75" customHeight="1">
      <c r="A1069" s="232"/>
      <c r="H1069" s="231"/>
    </row>
    <row r="1070" spans="1:8" s="226" customFormat="1" ht="9.75" customHeight="1">
      <c r="A1070" s="232"/>
      <c r="H1070" s="231"/>
    </row>
    <row r="1071" spans="1:8" s="226" customFormat="1" ht="9.75" customHeight="1">
      <c r="A1071" s="232"/>
      <c r="H1071" s="231"/>
    </row>
    <row r="1072" spans="1:8" s="226" customFormat="1" ht="9.75" customHeight="1">
      <c r="A1072" s="232"/>
      <c r="H1072" s="231"/>
    </row>
    <row r="1073" spans="1:8" s="226" customFormat="1" ht="9.75" customHeight="1">
      <c r="A1073" s="232"/>
      <c r="H1073" s="231"/>
    </row>
    <row r="1074" spans="1:8" s="226" customFormat="1" ht="9.75" customHeight="1">
      <c r="A1074" s="232"/>
      <c r="H1074" s="231"/>
    </row>
    <row r="1075" spans="1:8" s="226" customFormat="1" ht="9.75" customHeight="1">
      <c r="A1075" s="232"/>
      <c r="H1075" s="231"/>
    </row>
    <row r="1076" spans="1:8" s="226" customFormat="1" ht="9.75" customHeight="1">
      <c r="A1076" s="232"/>
      <c r="H1076" s="231"/>
    </row>
    <row r="1077" spans="1:8" s="226" customFormat="1" ht="9.75" customHeight="1">
      <c r="A1077" s="232"/>
      <c r="H1077" s="231"/>
    </row>
    <row r="1078" spans="1:8" s="226" customFormat="1" ht="9.75" customHeight="1">
      <c r="A1078" s="232"/>
      <c r="H1078" s="231"/>
    </row>
    <row r="1079" spans="1:8" s="226" customFormat="1" ht="9.75" customHeight="1">
      <c r="A1079" s="232"/>
      <c r="H1079" s="231"/>
    </row>
    <row r="1080" spans="1:8" s="226" customFormat="1" ht="9.75" customHeight="1">
      <c r="A1080" s="232"/>
      <c r="H1080" s="231"/>
    </row>
    <row r="1081" spans="1:8" s="226" customFormat="1" ht="9.75" customHeight="1">
      <c r="A1081" s="232"/>
      <c r="H1081" s="231"/>
    </row>
    <row r="1082" spans="1:8" s="226" customFormat="1" ht="9.75" customHeight="1">
      <c r="A1082" s="232"/>
      <c r="H1082" s="231"/>
    </row>
    <row r="1083" spans="1:8" s="226" customFormat="1" ht="9.75" customHeight="1">
      <c r="A1083" s="232"/>
      <c r="H1083" s="231"/>
    </row>
    <row r="1084" spans="1:8" s="226" customFormat="1" ht="9.75" customHeight="1">
      <c r="A1084" s="232"/>
      <c r="H1084" s="231"/>
    </row>
    <row r="1085" spans="1:8" s="226" customFormat="1" ht="9.75" customHeight="1">
      <c r="A1085" s="232"/>
      <c r="H1085" s="231"/>
    </row>
    <row r="1086" spans="1:8" s="226" customFormat="1" ht="9.75" customHeight="1">
      <c r="A1086" s="232"/>
      <c r="H1086" s="231"/>
    </row>
    <row r="1087" spans="1:8" s="226" customFormat="1" ht="9.75" customHeight="1">
      <c r="A1087" s="232"/>
      <c r="H1087" s="231"/>
    </row>
    <row r="1088" spans="1:8" s="226" customFormat="1" ht="9.75" customHeight="1">
      <c r="A1088" s="232"/>
      <c r="H1088" s="231"/>
    </row>
    <row r="1089" spans="1:8" s="226" customFormat="1" ht="9.75" customHeight="1">
      <c r="A1089" s="232"/>
      <c r="H1089" s="231"/>
    </row>
    <row r="1090" spans="1:8" s="226" customFormat="1" ht="9.75" customHeight="1">
      <c r="A1090" s="232"/>
      <c r="H1090" s="231"/>
    </row>
    <row r="1091" spans="1:8" s="226" customFormat="1" ht="9.75" customHeight="1">
      <c r="A1091" s="232"/>
      <c r="H1091" s="231"/>
    </row>
    <row r="1092" spans="1:8" s="226" customFormat="1" ht="9.75" customHeight="1">
      <c r="A1092" s="232"/>
      <c r="H1092" s="231"/>
    </row>
    <row r="1093" spans="1:8" s="226" customFormat="1" ht="9.75" customHeight="1">
      <c r="A1093" s="232"/>
      <c r="H1093" s="231"/>
    </row>
    <row r="1094" spans="1:8" s="226" customFormat="1" ht="9.75" customHeight="1">
      <c r="A1094" s="232"/>
      <c r="H1094" s="231"/>
    </row>
    <row r="1095" spans="1:8" s="226" customFormat="1" ht="9.75" customHeight="1">
      <c r="A1095" s="232"/>
      <c r="H1095" s="231"/>
    </row>
    <row r="1096" spans="1:8" s="226" customFormat="1" ht="9.75" customHeight="1">
      <c r="A1096" s="232"/>
      <c r="H1096" s="231"/>
    </row>
    <row r="1097" spans="1:8" s="226" customFormat="1" ht="9.75" customHeight="1">
      <c r="A1097" s="232"/>
      <c r="H1097" s="231"/>
    </row>
    <row r="1098" spans="1:8" s="226" customFormat="1" ht="9.75" customHeight="1">
      <c r="A1098" s="232"/>
      <c r="H1098" s="231"/>
    </row>
    <row r="1099" spans="1:8" s="226" customFormat="1" ht="9.75" customHeight="1">
      <c r="A1099" s="232"/>
      <c r="H1099" s="231"/>
    </row>
    <row r="1100" spans="1:8" s="226" customFormat="1" ht="9.75" customHeight="1">
      <c r="A1100" s="232"/>
      <c r="H1100" s="231"/>
    </row>
    <row r="1101" spans="1:8" s="226" customFormat="1" ht="9.75" customHeight="1">
      <c r="A1101" s="232"/>
      <c r="H1101" s="231"/>
    </row>
    <row r="1102" spans="1:8" s="226" customFormat="1" ht="9.75" customHeight="1">
      <c r="A1102" s="232"/>
      <c r="H1102" s="231"/>
    </row>
    <row r="1103" spans="1:8" s="226" customFormat="1" ht="9.75" customHeight="1">
      <c r="A1103" s="232"/>
      <c r="H1103" s="231"/>
    </row>
    <row r="1104" spans="1:8" s="226" customFormat="1" ht="9.75" customHeight="1">
      <c r="A1104" s="232"/>
      <c r="H1104" s="231"/>
    </row>
    <row r="1105" spans="1:8" s="226" customFormat="1" ht="9.75" customHeight="1">
      <c r="A1105" s="232"/>
      <c r="H1105" s="231"/>
    </row>
    <row r="1106" spans="1:8" s="226" customFormat="1" ht="9.75" customHeight="1">
      <c r="A1106" s="232"/>
      <c r="H1106" s="231"/>
    </row>
    <row r="1107" spans="1:8" s="226" customFormat="1" ht="9.75" customHeight="1">
      <c r="A1107" s="232"/>
      <c r="H1107" s="231"/>
    </row>
    <row r="1108" spans="1:8" s="226" customFormat="1" ht="9.75" customHeight="1">
      <c r="A1108" s="232"/>
      <c r="H1108" s="231"/>
    </row>
    <row r="1109" spans="1:8" s="226" customFormat="1" ht="9.75" customHeight="1">
      <c r="A1109" s="232"/>
      <c r="H1109" s="231"/>
    </row>
    <row r="1110" spans="1:8" s="226" customFormat="1" ht="9.75" customHeight="1">
      <c r="A1110" s="232"/>
      <c r="H1110" s="231"/>
    </row>
    <row r="1111" spans="1:8" s="226" customFormat="1" ht="9.75" customHeight="1">
      <c r="A1111" s="232"/>
      <c r="H1111" s="231"/>
    </row>
    <row r="1112" spans="1:8" s="226" customFormat="1" ht="9.75" customHeight="1">
      <c r="A1112" s="232"/>
      <c r="H1112" s="231"/>
    </row>
    <row r="1113" spans="1:8" s="226" customFormat="1" ht="9.75" customHeight="1">
      <c r="A1113" s="232"/>
      <c r="H1113" s="231"/>
    </row>
    <row r="1114" spans="1:8" s="226" customFormat="1" ht="9.75" customHeight="1">
      <c r="A1114" s="232"/>
      <c r="H1114" s="231"/>
    </row>
    <row r="1115" spans="1:8" s="226" customFormat="1" ht="9.75" customHeight="1">
      <c r="A1115" s="232"/>
      <c r="H1115" s="231"/>
    </row>
    <row r="1116" spans="1:8" s="226" customFormat="1" ht="9.75" customHeight="1">
      <c r="A1116" s="232"/>
      <c r="H1116" s="231"/>
    </row>
    <row r="1117" spans="1:8" s="226" customFormat="1" ht="9.75" customHeight="1">
      <c r="A1117" s="232"/>
      <c r="H1117" s="231"/>
    </row>
    <row r="1118" spans="1:8" s="226" customFormat="1" ht="9.75" customHeight="1">
      <c r="A1118" s="232"/>
      <c r="H1118" s="231"/>
    </row>
    <row r="1119" spans="1:8" s="226" customFormat="1" ht="9.75" customHeight="1">
      <c r="A1119" s="232"/>
      <c r="H1119" s="231"/>
    </row>
    <row r="1120" spans="1:8" s="226" customFormat="1" ht="9.75" customHeight="1">
      <c r="A1120" s="232"/>
      <c r="H1120" s="231"/>
    </row>
    <row r="1121" spans="1:8" s="226" customFormat="1" ht="9.75" customHeight="1">
      <c r="A1121" s="232"/>
      <c r="H1121" s="231"/>
    </row>
    <row r="1122" spans="1:8" s="226" customFormat="1" ht="9.75" customHeight="1">
      <c r="A1122" s="232"/>
      <c r="H1122" s="231"/>
    </row>
    <row r="1123" spans="1:8" s="226" customFormat="1" ht="9.75" customHeight="1">
      <c r="A1123" s="232"/>
      <c r="H1123" s="231"/>
    </row>
    <row r="1124" spans="1:8" s="226" customFormat="1" ht="9.75" customHeight="1">
      <c r="A1124" s="232"/>
      <c r="H1124" s="231"/>
    </row>
    <row r="1125" spans="1:8" s="226" customFormat="1" ht="9.75" customHeight="1">
      <c r="A1125" s="232"/>
      <c r="H1125" s="231"/>
    </row>
    <row r="1126" spans="1:8" s="226" customFormat="1" ht="9.75" customHeight="1">
      <c r="A1126" s="232"/>
      <c r="H1126" s="231"/>
    </row>
    <row r="1127" spans="1:8" s="226" customFormat="1" ht="9.75" customHeight="1">
      <c r="A1127" s="232"/>
      <c r="H1127" s="231"/>
    </row>
    <row r="1128" spans="1:8" s="226" customFormat="1" ht="9.75" customHeight="1">
      <c r="A1128" s="232"/>
      <c r="H1128" s="231"/>
    </row>
    <row r="1129" spans="1:8" s="226" customFormat="1" ht="9.75" customHeight="1">
      <c r="A1129" s="232"/>
      <c r="H1129" s="231"/>
    </row>
    <row r="1130" spans="1:8" s="226" customFormat="1" ht="9.75" customHeight="1">
      <c r="A1130" s="232"/>
      <c r="H1130" s="231"/>
    </row>
    <row r="1131" spans="1:8" s="226" customFormat="1" ht="9.75" customHeight="1">
      <c r="A1131" s="232"/>
      <c r="H1131" s="231"/>
    </row>
    <row r="1132" spans="1:8" s="226" customFormat="1" ht="9.75" customHeight="1">
      <c r="A1132" s="232"/>
      <c r="H1132" s="231"/>
    </row>
    <row r="1133" spans="1:8" s="226" customFormat="1" ht="9.75" customHeight="1">
      <c r="A1133" s="232"/>
      <c r="H1133" s="231"/>
    </row>
    <row r="1134" spans="1:8" s="226" customFormat="1" ht="9.75" customHeight="1">
      <c r="A1134" s="232"/>
      <c r="H1134" s="231"/>
    </row>
    <row r="1135" spans="1:8" s="226" customFormat="1" ht="9.75" customHeight="1">
      <c r="A1135" s="232"/>
      <c r="H1135" s="231"/>
    </row>
    <row r="1136" spans="1:8" s="226" customFormat="1" ht="9.75" customHeight="1">
      <c r="A1136" s="232"/>
      <c r="H1136" s="231"/>
    </row>
    <row r="1137" spans="1:8" s="226" customFormat="1" ht="9.75" customHeight="1">
      <c r="A1137" s="232"/>
      <c r="H1137" s="231"/>
    </row>
    <row r="1138" spans="1:8" s="226" customFormat="1" ht="9.75" customHeight="1">
      <c r="A1138" s="232"/>
      <c r="H1138" s="231"/>
    </row>
    <row r="1139" spans="1:8" s="226" customFormat="1" ht="9.75" customHeight="1">
      <c r="A1139" s="232"/>
      <c r="H1139" s="231"/>
    </row>
    <row r="1140" spans="1:8" s="226" customFormat="1" ht="9.75" customHeight="1">
      <c r="A1140" s="232"/>
      <c r="H1140" s="231"/>
    </row>
    <row r="1141" spans="1:8" s="226" customFormat="1" ht="9.75" customHeight="1">
      <c r="A1141" s="232"/>
      <c r="H1141" s="231"/>
    </row>
    <row r="1142" spans="1:8" s="226" customFormat="1" ht="9.75" customHeight="1">
      <c r="A1142" s="232"/>
      <c r="H1142" s="231"/>
    </row>
    <row r="1143" spans="1:8" s="226" customFormat="1" ht="9.75" customHeight="1">
      <c r="A1143" s="232"/>
      <c r="H1143" s="231"/>
    </row>
    <row r="1144" spans="1:8" s="226" customFormat="1" ht="9.75" customHeight="1">
      <c r="A1144" s="232"/>
      <c r="H1144" s="231"/>
    </row>
    <row r="1145" spans="1:8" s="226" customFormat="1" ht="9.75" customHeight="1">
      <c r="A1145" s="232"/>
      <c r="H1145" s="231"/>
    </row>
    <row r="1146" spans="1:8" s="226" customFormat="1" ht="9.75" customHeight="1">
      <c r="A1146" s="232"/>
      <c r="H1146" s="231"/>
    </row>
    <row r="1147" spans="1:8" s="226" customFormat="1" ht="9.75" customHeight="1">
      <c r="A1147" s="232"/>
      <c r="H1147" s="231"/>
    </row>
    <row r="1148" spans="1:8" s="226" customFormat="1" ht="9.75" customHeight="1">
      <c r="A1148" s="232"/>
      <c r="H1148" s="231"/>
    </row>
    <row r="1149" spans="1:8" s="226" customFormat="1" ht="9.75" customHeight="1">
      <c r="A1149" s="232"/>
      <c r="H1149" s="231"/>
    </row>
    <row r="1150" spans="1:8" s="226" customFormat="1" ht="9.75" customHeight="1">
      <c r="A1150" s="232"/>
      <c r="H1150" s="231"/>
    </row>
    <row r="1151" spans="1:8" s="226" customFormat="1" ht="9.75" customHeight="1">
      <c r="A1151" s="232"/>
      <c r="H1151" s="231"/>
    </row>
    <row r="1152" spans="1:8" s="226" customFormat="1" ht="9.75" customHeight="1">
      <c r="A1152" s="232"/>
      <c r="H1152" s="231"/>
    </row>
    <row r="1153" spans="1:8" s="226" customFormat="1" ht="9.75" customHeight="1">
      <c r="A1153" s="232"/>
      <c r="H1153" s="231"/>
    </row>
    <row r="1154" spans="1:8" s="226" customFormat="1" ht="9.75" customHeight="1">
      <c r="A1154" s="232"/>
      <c r="H1154" s="231"/>
    </row>
    <row r="1155" spans="1:8" s="226" customFormat="1" ht="9.75" customHeight="1">
      <c r="A1155" s="232"/>
      <c r="H1155" s="231"/>
    </row>
    <row r="1156" spans="1:8" s="226" customFormat="1" ht="9.75" customHeight="1">
      <c r="A1156" s="232"/>
      <c r="H1156" s="231"/>
    </row>
    <row r="1157" spans="1:8" s="226" customFormat="1" ht="9.75" customHeight="1">
      <c r="A1157" s="232"/>
      <c r="H1157" s="231"/>
    </row>
    <row r="1158" spans="1:8" s="226" customFormat="1" ht="9.75" customHeight="1">
      <c r="A1158" s="232"/>
      <c r="H1158" s="231"/>
    </row>
    <row r="1159" spans="1:8" s="226" customFormat="1" ht="9.75" customHeight="1">
      <c r="A1159" s="232"/>
      <c r="H1159" s="231"/>
    </row>
    <row r="1160" spans="1:8" s="226" customFormat="1" ht="9.75" customHeight="1">
      <c r="A1160" s="232"/>
      <c r="H1160" s="231"/>
    </row>
    <row r="1161" spans="1:8" s="226" customFormat="1" ht="9.75" customHeight="1">
      <c r="A1161" s="232"/>
      <c r="H1161" s="231"/>
    </row>
    <row r="1162" spans="1:8" s="226" customFormat="1" ht="9.75" customHeight="1">
      <c r="A1162" s="232"/>
      <c r="H1162" s="231"/>
    </row>
    <row r="1163" spans="1:8" s="226" customFormat="1" ht="9.75" customHeight="1">
      <c r="A1163" s="232"/>
      <c r="H1163" s="231"/>
    </row>
    <row r="1164" spans="1:8" s="226" customFormat="1" ht="9.75" customHeight="1">
      <c r="A1164" s="232"/>
      <c r="H1164" s="231"/>
    </row>
    <row r="1165" spans="1:8" s="226" customFormat="1" ht="9.75" customHeight="1">
      <c r="A1165" s="232"/>
      <c r="H1165" s="231"/>
    </row>
    <row r="1166" spans="1:8" s="226" customFormat="1" ht="9.75" customHeight="1">
      <c r="A1166" s="232"/>
      <c r="H1166" s="231"/>
    </row>
    <row r="1167" spans="1:8" s="226" customFormat="1" ht="9.75" customHeight="1">
      <c r="A1167" s="232"/>
      <c r="H1167" s="231"/>
    </row>
    <row r="1168" spans="1:8" s="226" customFormat="1" ht="9.75" customHeight="1">
      <c r="A1168" s="232"/>
      <c r="H1168" s="231"/>
    </row>
    <row r="1169" spans="1:8" s="226" customFormat="1" ht="9.75" customHeight="1">
      <c r="A1169" s="232"/>
      <c r="H1169" s="231"/>
    </row>
    <row r="1170" spans="1:8" s="226" customFormat="1" ht="9.75" customHeight="1">
      <c r="A1170" s="232"/>
      <c r="H1170" s="231"/>
    </row>
    <row r="1171" spans="1:8" s="226" customFormat="1" ht="9.75" customHeight="1">
      <c r="A1171" s="232"/>
      <c r="H1171" s="231"/>
    </row>
    <row r="1172" spans="1:8" s="226" customFormat="1" ht="9.75" customHeight="1">
      <c r="A1172" s="232"/>
      <c r="H1172" s="231"/>
    </row>
    <row r="1173" spans="1:8" s="226" customFormat="1" ht="9.75" customHeight="1">
      <c r="A1173" s="232"/>
      <c r="H1173" s="231"/>
    </row>
    <row r="1174" spans="1:8" s="226" customFormat="1" ht="9.75" customHeight="1">
      <c r="A1174" s="232"/>
      <c r="H1174" s="231"/>
    </row>
    <row r="1175" spans="1:8" s="226" customFormat="1" ht="9.75" customHeight="1">
      <c r="A1175" s="232"/>
      <c r="H1175" s="231"/>
    </row>
    <row r="1176" spans="1:8" s="226" customFormat="1" ht="9.75" customHeight="1">
      <c r="A1176" s="232"/>
      <c r="H1176" s="231"/>
    </row>
    <row r="1177" spans="1:8" s="226" customFormat="1" ht="9.75" customHeight="1">
      <c r="A1177" s="232"/>
      <c r="H1177" s="231"/>
    </row>
    <row r="1178" spans="1:8" s="226" customFormat="1" ht="9.75" customHeight="1">
      <c r="A1178" s="232"/>
      <c r="H1178" s="231"/>
    </row>
    <row r="1179" spans="1:8" s="226" customFormat="1" ht="9.75" customHeight="1">
      <c r="A1179" s="232"/>
      <c r="H1179" s="231"/>
    </row>
    <row r="1180" spans="1:8" s="226" customFormat="1" ht="9.75" customHeight="1">
      <c r="A1180" s="232"/>
      <c r="H1180" s="231"/>
    </row>
    <row r="1181" spans="1:8" s="226" customFormat="1" ht="9.75" customHeight="1">
      <c r="A1181" s="232"/>
      <c r="H1181" s="231"/>
    </row>
    <row r="1182" spans="1:8" s="226" customFormat="1" ht="9.75" customHeight="1">
      <c r="A1182" s="232"/>
      <c r="H1182" s="231"/>
    </row>
    <row r="1183" spans="1:8" s="226" customFormat="1" ht="9.75" customHeight="1">
      <c r="A1183" s="232"/>
      <c r="H1183" s="231"/>
    </row>
    <row r="1184" spans="1:8" s="226" customFormat="1" ht="9.75" customHeight="1">
      <c r="A1184" s="232"/>
      <c r="H1184" s="231"/>
    </row>
    <row r="1185" spans="1:8" s="226" customFormat="1" ht="9.75" customHeight="1">
      <c r="A1185" s="232"/>
      <c r="H1185" s="231"/>
    </row>
    <row r="1186" spans="1:8" s="226" customFormat="1" ht="9.75" customHeight="1">
      <c r="A1186" s="232"/>
      <c r="H1186" s="231"/>
    </row>
    <row r="1187" spans="1:8" s="226" customFormat="1" ht="9.75" customHeight="1">
      <c r="A1187" s="232"/>
      <c r="H1187" s="231"/>
    </row>
    <row r="1188" spans="1:8" s="226" customFormat="1" ht="9.75" customHeight="1">
      <c r="A1188" s="232"/>
      <c r="H1188" s="231"/>
    </row>
    <row r="1189" spans="1:8" s="226" customFormat="1" ht="9.75" customHeight="1">
      <c r="A1189" s="232"/>
      <c r="H1189" s="231"/>
    </row>
    <row r="1190" spans="1:8" s="226" customFormat="1" ht="9.75" customHeight="1">
      <c r="A1190" s="232"/>
      <c r="H1190" s="231"/>
    </row>
    <row r="1191" spans="1:8" s="226" customFormat="1" ht="9.75" customHeight="1">
      <c r="A1191" s="232"/>
      <c r="H1191" s="231"/>
    </row>
    <row r="1192" spans="1:8" s="226" customFormat="1" ht="9.75" customHeight="1">
      <c r="A1192" s="232"/>
      <c r="H1192" s="231"/>
    </row>
    <row r="1193" spans="1:8" s="226" customFormat="1" ht="9.75" customHeight="1">
      <c r="A1193" s="232"/>
      <c r="H1193" s="231"/>
    </row>
    <row r="1194" spans="1:8" s="226" customFormat="1" ht="9.75" customHeight="1">
      <c r="A1194" s="232"/>
      <c r="H1194" s="231"/>
    </row>
    <row r="1195" spans="1:8" s="226" customFormat="1" ht="9.75" customHeight="1">
      <c r="A1195" s="232"/>
      <c r="H1195" s="231"/>
    </row>
    <row r="1196" spans="1:8" s="226" customFormat="1" ht="9.75" customHeight="1">
      <c r="A1196" s="232"/>
      <c r="H1196" s="231"/>
    </row>
    <row r="1197" spans="1:8" s="226" customFormat="1" ht="9.75" customHeight="1">
      <c r="A1197" s="232"/>
      <c r="H1197" s="231"/>
    </row>
    <row r="1198" spans="1:8" s="226" customFormat="1" ht="9.75" customHeight="1">
      <c r="A1198" s="232"/>
      <c r="H1198" s="231"/>
    </row>
    <row r="1199" spans="1:8" s="226" customFormat="1" ht="9.75" customHeight="1">
      <c r="A1199" s="232"/>
      <c r="H1199" s="231"/>
    </row>
    <row r="1200" spans="1:8" s="226" customFormat="1" ht="9.75" customHeight="1">
      <c r="A1200" s="232"/>
      <c r="H1200" s="231"/>
    </row>
    <row r="1201" spans="1:8" s="226" customFormat="1" ht="9.75" customHeight="1">
      <c r="A1201" s="232"/>
      <c r="H1201" s="231"/>
    </row>
    <row r="1202" spans="1:8" s="226" customFormat="1" ht="9.75" customHeight="1">
      <c r="A1202" s="232"/>
      <c r="H1202" s="231"/>
    </row>
    <row r="1203" spans="1:8" s="226" customFormat="1" ht="9.75" customHeight="1">
      <c r="A1203" s="232"/>
      <c r="H1203" s="231"/>
    </row>
    <row r="1204" spans="1:8" s="226" customFormat="1" ht="9.75" customHeight="1">
      <c r="A1204" s="232"/>
      <c r="H1204" s="231"/>
    </row>
    <row r="1205" spans="1:8" s="226" customFormat="1" ht="9.75" customHeight="1">
      <c r="A1205" s="232"/>
      <c r="H1205" s="231"/>
    </row>
    <row r="1206" spans="1:8" s="226" customFormat="1" ht="9.75" customHeight="1">
      <c r="A1206" s="232"/>
      <c r="H1206" s="231"/>
    </row>
    <row r="1207" spans="1:8" s="226" customFormat="1" ht="9.75" customHeight="1">
      <c r="A1207" s="232"/>
      <c r="H1207" s="231"/>
    </row>
    <row r="1208" spans="1:8" s="226" customFormat="1" ht="9.75" customHeight="1">
      <c r="A1208" s="232"/>
      <c r="H1208" s="231"/>
    </row>
    <row r="1209" spans="1:8" s="226" customFormat="1" ht="9.75" customHeight="1">
      <c r="A1209" s="232"/>
      <c r="H1209" s="231"/>
    </row>
    <row r="1210" spans="1:8" s="226" customFormat="1" ht="9.75" customHeight="1">
      <c r="A1210" s="232"/>
      <c r="H1210" s="231"/>
    </row>
    <row r="1211" spans="1:8" s="226" customFormat="1" ht="9.75" customHeight="1">
      <c r="A1211" s="232"/>
      <c r="H1211" s="231"/>
    </row>
    <row r="1212" spans="1:8" s="226" customFormat="1" ht="9.75" customHeight="1">
      <c r="A1212" s="232"/>
      <c r="H1212" s="231"/>
    </row>
    <row r="1213" spans="1:8" s="226" customFormat="1" ht="9.75" customHeight="1">
      <c r="A1213" s="232"/>
      <c r="H1213" s="231"/>
    </row>
    <row r="1214" spans="1:8" s="226" customFormat="1" ht="9.75" customHeight="1">
      <c r="A1214" s="232"/>
      <c r="H1214" s="231"/>
    </row>
    <row r="1215" spans="1:8" s="226" customFormat="1" ht="9.75" customHeight="1">
      <c r="A1215" s="232"/>
      <c r="H1215" s="231"/>
    </row>
    <row r="1216" spans="1:8" s="226" customFormat="1" ht="9.75" customHeight="1">
      <c r="A1216" s="232"/>
      <c r="H1216" s="231"/>
    </row>
    <row r="1217" spans="1:8" s="226" customFormat="1" ht="9.75" customHeight="1">
      <c r="A1217" s="232"/>
      <c r="H1217" s="231"/>
    </row>
    <row r="1218" spans="1:8" s="226" customFormat="1" ht="9.75" customHeight="1">
      <c r="A1218" s="232"/>
      <c r="H1218" s="231"/>
    </row>
    <row r="1219" spans="1:8" s="226" customFormat="1" ht="9.75" customHeight="1">
      <c r="A1219" s="232"/>
      <c r="H1219" s="231"/>
    </row>
    <row r="1220" spans="1:8" s="226" customFormat="1" ht="9.75" customHeight="1">
      <c r="A1220" s="232"/>
      <c r="H1220" s="231"/>
    </row>
    <row r="1221" spans="1:8" s="226" customFormat="1" ht="9.75" customHeight="1">
      <c r="A1221" s="232"/>
      <c r="H1221" s="231"/>
    </row>
    <row r="1222" spans="1:8" s="226" customFormat="1" ht="9.75" customHeight="1">
      <c r="A1222" s="232"/>
      <c r="H1222" s="231"/>
    </row>
    <row r="1223" spans="1:8" s="226" customFormat="1" ht="9.75" customHeight="1">
      <c r="A1223" s="232"/>
      <c r="H1223" s="231"/>
    </row>
    <row r="1224" spans="1:8" s="226" customFormat="1" ht="9.75" customHeight="1">
      <c r="A1224" s="232"/>
      <c r="H1224" s="231"/>
    </row>
    <row r="1225" spans="1:8" s="226" customFormat="1" ht="9.75" customHeight="1">
      <c r="A1225" s="232"/>
      <c r="H1225" s="231"/>
    </row>
    <row r="1226" spans="1:8" s="226" customFormat="1" ht="9.75" customHeight="1">
      <c r="A1226" s="232"/>
      <c r="H1226" s="231"/>
    </row>
    <row r="1227" spans="1:8" s="226" customFormat="1" ht="9.75" customHeight="1">
      <c r="A1227" s="232"/>
      <c r="H1227" s="231"/>
    </row>
    <row r="1228" spans="1:8" s="226" customFormat="1" ht="9.75" customHeight="1">
      <c r="A1228" s="232"/>
      <c r="H1228" s="231"/>
    </row>
    <row r="1229" spans="1:8" s="226" customFormat="1" ht="9.75" customHeight="1">
      <c r="A1229" s="232"/>
      <c r="H1229" s="231"/>
    </row>
    <row r="1230" spans="1:8" s="226" customFormat="1" ht="9.75" customHeight="1">
      <c r="A1230" s="232"/>
      <c r="H1230" s="231"/>
    </row>
    <row r="1231" spans="1:8" s="226" customFormat="1" ht="9.75" customHeight="1">
      <c r="A1231" s="232"/>
      <c r="H1231" s="231"/>
    </row>
    <row r="1232" spans="1:8" s="226" customFormat="1" ht="9.75" customHeight="1">
      <c r="A1232" s="232"/>
      <c r="H1232" s="231"/>
    </row>
    <row r="1233" spans="1:8" s="226" customFormat="1" ht="9.75" customHeight="1">
      <c r="A1233" s="232"/>
      <c r="H1233" s="231"/>
    </row>
    <row r="1234" spans="1:8" s="226" customFormat="1" ht="9.75" customHeight="1">
      <c r="A1234" s="232"/>
      <c r="H1234" s="231"/>
    </row>
    <row r="1235" spans="1:8" s="226" customFormat="1" ht="9.75" customHeight="1">
      <c r="A1235" s="232"/>
      <c r="H1235" s="231"/>
    </row>
    <row r="1236" spans="1:8" s="226" customFormat="1" ht="9.75" customHeight="1">
      <c r="A1236" s="232"/>
      <c r="H1236" s="231"/>
    </row>
    <row r="1237" spans="1:8" s="226" customFormat="1" ht="9.75" customHeight="1">
      <c r="A1237" s="232"/>
      <c r="H1237" s="231"/>
    </row>
    <row r="1238" spans="1:8" s="226" customFormat="1" ht="9.75" customHeight="1">
      <c r="A1238" s="232"/>
      <c r="H1238" s="231"/>
    </row>
    <row r="1239" spans="1:8" s="226" customFormat="1" ht="9.75" customHeight="1">
      <c r="A1239" s="232"/>
      <c r="H1239" s="231"/>
    </row>
    <row r="1240" spans="1:8" s="226" customFormat="1" ht="9.75" customHeight="1">
      <c r="A1240" s="232"/>
      <c r="H1240" s="231"/>
    </row>
    <row r="1241" spans="1:8" s="226" customFormat="1" ht="9.75" customHeight="1">
      <c r="A1241" s="232"/>
      <c r="H1241" s="231"/>
    </row>
    <row r="1242" spans="1:8" s="226" customFormat="1" ht="9.75" customHeight="1">
      <c r="A1242" s="232"/>
      <c r="H1242" s="231"/>
    </row>
    <row r="1243" spans="1:8" s="226" customFormat="1" ht="9.75" customHeight="1">
      <c r="A1243" s="232"/>
      <c r="H1243" s="231"/>
    </row>
    <row r="1244" spans="1:8" s="226" customFormat="1" ht="9.75" customHeight="1">
      <c r="A1244" s="232"/>
      <c r="H1244" s="231"/>
    </row>
    <row r="1245" spans="1:8" s="226" customFormat="1" ht="9.75" customHeight="1">
      <c r="A1245" s="232"/>
      <c r="H1245" s="231"/>
    </row>
    <row r="1246" spans="1:8" s="226" customFormat="1" ht="9.75" customHeight="1">
      <c r="A1246" s="232"/>
      <c r="H1246" s="231"/>
    </row>
    <row r="1247" spans="1:8" s="226" customFormat="1" ht="9.75" customHeight="1">
      <c r="A1247" s="232"/>
      <c r="H1247" s="231"/>
    </row>
    <row r="1248" spans="1:8" s="226" customFormat="1" ht="9.75" customHeight="1">
      <c r="A1248" s="232"/>
      <c r="H1248" s="231"/>
    </row>
    <row r="1249" spans="1:8" s="226" customFormat="1" ht="9.75" customHeight="1">
      <c r="A1249" s="232"/>
      <c r="H1249" s="231"/>
    </row>
    <row r="1250" spans="1:8" s="226" customFormat="1" ht="9.75" customHeight="1">
      <c r="A1250" s="232"/>
      <c r="H1250" s="231"/>
    </row>
    <row r="1251" spans="1:8" s="226" customFormat="1" ht="9.75" customHeight="1">
      <c r="A1251" s="232"/>
      <c r="H1251" s="231"/>
    </row>
    <row r="1252" spans="1:8" s="226" customFormat="1" ht="9.75" customHeight="1">
      <c r="A1252" s="232"/>
      <c r="H1252" s="231"/>
    </row>
    <row r="1253" spans="1:8" s="226" customFormat="1" ht="9.75" customHeight="1">
      <c r="A1253" s="232"/>
      <c r="H1253" s="231"/>
    </row>
    <row r="1254" spans="1:8" s="226" customFormat="1" ht="9.75" customHeight="1">
      <c r="A1254" s="232"/>
      <c r="H1254" s="231"/>
    </row>
    <row r="1255" spans="1:8" s="226" customFormat="1" ht="9.75" customHeight="1">
      <c r="A1255" s="232"/>
      <c r="H1255" s="231"/>
    </row>
    <row r="1256" spans="1:8" s="226" customFormat="1" ht="9.75" customHeight="1">
      <c r="A1256" s="232"/>
      <c r="H1256" s="231"/>
    </row>
    <row r="1257" spans="1:8" s="226" customFormat="1" ht="9.75" customHeight="1">
      <c r="A1257" s="232"/>
      <c r="H1257" s="231"/>
    </row>
    <row r="1258" spans="1:8" s="226" customFormat="1" ht="9.75" customHeight="1">
      <c r="A1258" s="232"/>
      <c r="H1258" s="231"/>
    </row>
    <row r="1259" spans="1:8" s="226" customFormat="1" ht="9.75" customHeight="1">
      <c r="A1259" s="232"/>
      <c r="H1259" s="231"/>
    </row>
    <row r="1260" spans="1:8" s="226" customFormat="1" ht="9.75" customHeight="1">
      <c r="A1260" s="232"/>
      <c r="H1260" s="231"/>
    </row>
    <row r="1261" spans="1:8" s="226" customFormat="1" ht="9.75" customHeight="1">
      <c r="A1261" s="232"/>
      <c r="H1261" s="231"/>
    </row>
    <row r="1262" spans="1:8" s="226" customFormat="1" ht="9.75" customHeight="1">
      <c r="A1262" s="232"/>
      <c r="H1262" s="231"/>
    </row>
    <row r="1263" spans="1:8" s="226" customFormat="1" ht="9.75" customHeight="1">
      <c r="A1263" s="232"/>
      <c r="H1263" s="231"/>
    </row>
    <row r="1264" spans="1:8" s="226" customFormat="1" ht="9.75" customHeight="1">
      <c r="A1264" s="232"/>
      <c r="H1264" s="231"/>
    </row>
    <row r="1265" spans="1:8" s="226" customFormat="1" ht="9.75" customHeight="1">
      <c r="A1265" s="232"/>
      <c r="H1265" s="231"/>
    </row>
    <row r="1266" spans="1:8" s="226" customFormat="1" ht="9.75" customHeight="1">
      <c r="A1266" s="232"/>
      <c r="H1266" s="231"/>
    </row>
    <row r="1267" spans="1:8" s="226" customFormat="1" ht="9.75" customHeight="1">
      <c r="A1267" s="232"/>
      <c r="H1267" s="231"/>
    </row>
    <row r="1268" spans="1:8" s="226" customFormat="1" ht="9.75" customHeight="1">
      <c r="A1268" s="232"/>
      <c r="H1268" s="231"/>
    </row>
    <row r="1269" spans="1:8" s="226" customFormat="1" ht="9.75" customHeight="1">
      <c r="A1269" s="232"/>
      <c r="H1269" s="231"/>
    </row>
    <row r="1270" spans="1:8" s="226" customFormat="1" ht="9.75" customHeight="1">
      <c r="A1270" s="232"/>
      <c r="H1270" s="231"/>
    </row>
    <row r="1271" spans="1:8" s="226" customFormat="1" ht="9.75" customHeight="1">
      <c r="A1271" s="232"/>
      <c r="H1271" s="231"/>
    </row>
    <row r="1272" spans="1:8" s="226" customFormat="1" ht="9.75" customHeight="1">
      <c r="A1272" s="232"/>
      <c r="H1272" s="231"/>
    </row>
    <row r="1273" spans="1:8" s="226" customFormat="1" ht="9.75" customHeight="1">
      <c r="A1273" s="232"/>
      <c r="H1273" s="231"/>
    </row>
    <row r="1274" spans="1:8" s="226" customFormat="1" ht="9.75" customHeight="1">
      <c r="A1274" s="232"/>
      <c r="H1274" s="231"/>
    </row>
    <row r="1275" spans="1:8" s="226" customFormat="1" ht="9.75" customHeight="1">
      <c r="A1275" s="232"/>
      <c r="H1275" s="231"/>
    </row>
    <row r="1276" spans="1:8" s="226" customFormat="1" ht="9.75" customHeight="1">
      <c r="A1276" s="232"/>
      <c r="H1276" s="231"/>
    </row>
    <row r="1277" spans="1:8" s="226" customFormat="1" ht="9.75" customHeight="1">
      <c r="A1277" s="232"/>
      <c r="H1277" s="231"/>
    </row>
    <row r="1278" spans="1:8" s="226" customFormat="1" ht="9.75" customHeight="1">
      <c r="A1278" s="232"/>
      <c r="H1278" s="231"/>
    </row>
    <row r="1279" spans="1:8" s="226" customFormat="1" ht="9.75" customHeight="1">
      <c r="A1279" s="232"/>
      <c r="H1279" s="231"/>
    </row>
    <row r="1280" spans="1:8" s="226" customFormat="1" ht="9.75" customHeight="1">
      <c r="A1280" s="232"/>
      <c r="H1280" s="231"/>
    </row>
    <row r="1281" spans="1:8" s="226" customFormat="1" ht="9.75" customHeight="1">
      <c r="A1281" s="232"/>
      <c r="H1281" s="231"/>
    </row>
    <row r="1282" spans="1:8" s="226" customFormat="1" ht="9.75" customHeight="1">
      <c r="A1282" s="232"/>
      <c r="H1282" s="231"/>
    </row>
    <row r="1283" spans="1:8" s="226" customFormat="1" ht="9.75" customHeight="1">
      <c r="A1283" s="232"/>
      <c r="H1283" s="231"/>
    </row>
    <row r="1284" spans="1:8" s="226" customFormat="1" ht="9.75" customHeight="1">
      <c r="A1284" s="232"/>
      <c r="H1284" s="231"/>
    </row>
    <row r="1285" spans="1:8" s="226" customFormat="1" ht="9.75" customHeight="1">
      <c r="A1285" s="232"/>
      <c r="H1285" s="231"/>
    </row>
    <row r="1286" spans="1:8" s="226" customFormat="1" ht="9.75" customHeight="1">
      <c r="A1286" s="232"/>
      <c r="H1286" s="231"/>
    </row>
    <row r="1287" spans="1:8" s="226" customFormat="1" ht="9.75" customHeight="1">
      <c r="A1287" s="232"/>
      <c r="H1287" s="231"/>
    </row>
    <row r="1288" spans="1:8" s="226" customFormat="1" ht="9.75" customHeight="1">
      <c r="A1288" s="232"/>
      <c r="H1288" s="231"/>
    </row>
    <row r="1289" spans="1:8" s="226" customFormat="1" ht="9.75" customHeight="1">
      <c r="A1289" s="232"/>
      <c r="H1289" s="231"/>
    </row>
    <row r="1290" spans="1:8" s="226" customFormat="1" ht="9.75" customHeight="1">
      <c r="A1290" s="232"/>
      <c r="H1290" s="231"/>
    </row>
    <row r="1291" spans="1:8" s="226" customFormat="1" ht="9.75" customHeight="1">
      <c r="A1291" s="232"/>
      <c r="H1291" s="231"/>
    </row>
    <row r="1292" spans="1:8" s="226" customFormat="1" ht="9.75" customHeight="1">
      <c r="A1292" s="232"/>
      <c r="H1292" s="231"/>
    </row>
    <row r="1293" spans="1:8" s="226" customFormat="1" ht="9.75" customHeight="1">
      <c r="A1293" s="232"/>
      <c r="H1293" s="231"/>
    </row>
    <row r="1294" spans="1:8" s="226" customFormat="1" ht="9.75" customHeight="1">
      <c r="A1294" s="232"/>
      <c r="H1294" s="231"/>
    </row>
    <row r="1295" spans="1:8" s="226" customFormat="1" ht="9.75" customHeight="1">
      <c r="A1295" s="232"/>
      <c r="H1295" s="231"/>
    </row>
    <row r="1296" spans="1:8" s="226" customFormat="1" ht="9.75" customHeight="1">
      <c r="A1296" s="232"/>
      <c r="H1296" s="231"/>
    </row>
    <row r="1297" spans="1:8" s="226" customFormat="1" ht="9.75" customHeight="1">
      <c r="A1297" s="232"/>
      <c r="H1297" s="231"/>
    </row>
    <row r="1298" spans="1:8" s="226" customFormat="1" ht="9.75" customHeight="1">
      <c r="A1298" s="232"/>
      <c r="H1298" s="231"/>
    </row>
    <row r="1299" spans="1:8" s="226" customFormat="1" ht="9.75" customHeight="1">
      <c r="A1299" s="232"/>
      <c r="H1299" s="231"/>
    </row>
    <row r="1300" spans="1:8" s="226" customFormat="1" ht="9.75" customHeight="1">
      <c r="A1300" s="232"/>
      <c r="H1300" s="231"/>
    </row>
    <row r="1301" spans="1:8" s="226" customFormat="1" ht="9.75" customHeight="1">
      <c r="A1301" s="232"/>
      <c r="H1301" s="231"/>
    </row>
    <row r="1302" spans="1:8" s="226" customFormat="1" ht="9.75" customHeight="1">
      <c r="A1302" s="232"/>
      <c r="H1302" s="231"/>
    </row>
    <row r="1303" spans="1:8" s="226" customFormat="1" ht="9.75" customHeight="1">
      <c r="A1303" s="232"/>
      <c r="H1303" s="231"/>
    </row>
    <row r="1304" spans="1:8" s="226" customFormat="1" ht="9.75" customHeight="1">
      <c r="A1304" s="232"/>
      <c r="H1304" s="231"/>
    </row>
    <row r="1305" spans="1:8" s="226" customFormat="1" ht="9.75" customHeight="1">
      <c r="A1305" s="232"/>
      <c r="H1305" s="231"/>
    </row>
    <row r="1306" spans="1:8" s="226" customFormat="1" ht="9.75" customHeight="1">
      <c r="A1306" s="232"/>
      <c r="H1306" s="231"/>
    </row>
    <row r="1307" spans="1:8" s="226" customFormat="1" ht="9.75" customHeight="1">
      <c r="A1307" s="232"/>
      <c r="H1307" s="231"/>
    </row>
    <row r="1308" spans="1:8" s="226" customFormat="1" ht="9.75" customHeight="1">
      <c r="A1308" s="232"/>
      <c r="H1308" s="231"/>
    </row>
    <row r="1309" spans="1:8" s="226" customFormat="1" ht="9.75" customHeight="1">
      <c r="A1309" s="232"/>
      <c r="H1309" s="231"/>
    </row>
    <row r="1310" spans="1:8" s="226" customFormat="1" ht="9.75" customHeight="1">
      <c r="A1310" s="232"/>
      <c r="H1310" s="231"/>
    </row>
    <row r="1311" spans="1:8" s="226" customFormat="1" ht="9.75" customHeight="1">
      <c r="A1311" s="232"/>
      <c r="H1311" s="231"/>
    </row>
    <row r="1312" spans="1:8" s="226" customFormat="1" ht="9.75" customHeight="1">
      <c r="A1312" s="232"/>
      <c r="H1312" s="231"/>
    </row>
    <row r="1313" spans="1:8" s="226" customFormat="1" ht="9.75" customHeight="1">
      <c r="A1313" s="232"/>
      <c r="H1313" s="231"/>
    </row>
    <row r="1314" spans="1:8" s="226" customFormat="1" ht="9.75" customHeight="1">
      <c r="A1314" s="232"/>
      <c r="H1314" s="231"/>
    </row>
    <row r="1315" spans="1:8" s="226" customFormat="1" ht="9.75" customHeight="1">
      <c r="A1315" s="232"/>
      <c r="H1315" s="231"/>
    </row>
    <row r="1316" spans="1:8" s="226" customFormat="1" ht="9.75" customHeight="1">
      <c r="A1316" s="232"/>
      <c r="H1316" s="231"/>
    </row>
    <row r="1317" spans="1:8" s="226" customFormat="1" ht="9.75" customHeight="1">
      <c r="A1317" s="232"/>
      <c r="H1317" s="231"/>
    </row>
    <row r="1318" spans="1:8" s="226" customFormat="1" ht="9.75" customHeight="1">
      <c r="A1318" s="232"/>
      <c r="H1318" s="231"/>
    </row>
    <row r="1319" spans="1:8" s="226" customFormat="1" ht="9.75" customHeight="1">
      <c r="A1319" s="232"/>
      <c r="H1319" s="231"/>
    </row>
    <row r="1320" spans="1:8" s="226" customFormat="1" ht="9.75" customHeight="1">
      <c r="A1320" s="232"/>
      <c r="H1320" s="231"/>
    </row>
    <row r="1321" spans="1:8" s="226" customFormat="1" ht="9.75" customHeight="1">
      <c r="A1321" s="232"/>
      <c r="H1321" s="231"/>
    </row>
    <row r="1322" spans="1:8" s="226" customFormat="1" ht="9.75" customHeight="1">
      <c r="A1322" s="232"/>
      <c r="H1322" s="231"/>
    </row>
    <row r="1323" spans="1:8" s="226" customFormat="1" ht="9.75" customHeight="1">
      <c r="A1323" s="232"/>
      <c r="H1323" s="231"/>
    </row>
    <row r="1324" spans="1:8" s="226" customFormat="1" ht="9.75" customHeight="1">
      <c r="A1324" s="232"/>
      <c r="H1324" s="231"/>
    </row>
    <row r="1325" spans="1:8" s="226" customFormat="1" ht="9.75" customHeight="1">
      <c r="A1325" s="232"/>
      <c r="H1325" s="231"/>
    </row>
    <row r="1326" spans="1:8" s="226" customFormat="1" ht="9.75" customHeight="1">
      <c r="A1326" s="232"/>
      <c r="H1326" s="231"/>
    </row>
    <row r="1327" spans="1:8" s="226" customFormat="1" ht="9.75" customHeight="1">
      <c r="A1327" s="232"/>
      <c r="H1327" s="231"/>
    </row>
    <row r="1328" spans="1:8" s="226" customFormat="1" ht="9.75" customHeight="1">
      <c r="A1328" s="232"/>
      <c r="H1328" s="231"/>
    </row>
    <row r="1329" spans="1:8" s="226" customFormat="1" ht="9.75" customHeight="1">
      <c r="A1329" s="232"/>
      <c r="H1329" s="231"/>
    </row>
    <row r="1330" spans="1:8" s="226" customFormat="1" ht="9.75" customHeight="1">
      <c r="A1330" s="232"/>
      <c r="H1330" s="231"/>
    </row>
    <row r="1331" spans="1:8" s="226" customFormat="1" ht="9.75" customHeight="1">
      <c r="A1331" s="232"/>
      <c r="H1331" s="231"/>
    </row>
    <row r="1332" spans="1:8" s="226" customFormat="1" ht="9.75" customHeight="1">
      <c r="A1332" s="232"/>
      <c r="H1332" s="231"/>
    </row>
    <row r="1333" spans="1:8" s="226" customFormat="1" ht="9.75" customHeight="1">
      <c r="A1333" s="232"/>
      <c r="H1333" s="231"/>
    </row>
    <row r="1334" spans="1:8" s="226" customFormat="1" ht="9.75" customHeight="1">
      <c r="A1334" s="232"/>
      <c r="H1334" s="231"/>
    </row>
    <row r="1335" spans="1:8" s="226" customFormat="1" ht="9.75" customHeight="1">
      <c r="A1335" s="232"/>
      <c r="H1335" s="231"/>
    </row>
    <row r="1336" spans="1:8" s="226" customFormat="1" ht="9.75" customHeight="1">
      <c r="A1336" s="232"/>
      <c r="H1336" s="231"/>
    </row>
    <row r="1337" spans="1:8" s="226" customFormat="1" ht="9.75" customHeight="1">
      <c r="A1337" s="232"/>
      <c r="H1337" s="231"/>
    </row>
    <row r="1338" spans="1:8" s="226" customFormat="1" ht="9.75" customHeight="1">
      <c r="A1338" s="232"/>
      <c r="H1338" s="231"/>
    </row>
    <row r="1339" spans="1:8" s="226" customFormat="1" ht="9.75" customHeight="1">
      <c r="A1339" s="232"/>
      <c r="H1339" s="231"/>
    </row>
    <row r="1340" spans="1:8" s="226" customFormat="1" ht="9.75" customHeight="1">
      <c r="A1340" s="232"/>
      <c r="H1340" s="231"/>
    </row>
    <row r="1341" spans="1:8" s="226" customFormat="1" ht="9.75" customHeight="1">
      <c r="A1341" s="232"/>
      <c r="H1341" s="231"/>
    </row>
    <row r="1342" spans="1:8" s="226" customFormat="1" ht="9.75" customHeight="1">
      <c r="A1342" s="232"/>
      <c r="H1342" s="231"/>
    </row>
    <row r="1343" spans="1:8" s="226" customFormat="1" ht="9.75" customHeight="1">
      <c r="A1343" s="232"/>
      <c r="H1343" s="231"/>
    </row>
    <row r="1344" spans="1:8" s="226" customFormat="1" ht="9.75" customHeight="1">
      <c r="A1344" s="232"/>
      <c r="H1344" s="231"/>
    </row>
    <row r="1345" spans="1:8" s="226" customFormat="1" ht="9.75" customHeight="1">
      <c r="A1345" s="232"/>
      <c r="H1345" s="231"/>
    </row>
    <row r="1346" spans="1:8" s="226" customFormat="1" ht="9.75" customHeight="1">
      <c r="A1346" s="232"/>
      <c r="H1346" s="231"/>
    </row>
    <row r="1347" spans="1:8" s="226" customFormat="1" ht="9.75" customHeight="1">
      <c r="A1347" s="232"/>
      <c r="H1347" s="231"/>
    </row>
    <row r="1348" spans="1:8" s="226" customFormat="1" ht="9.75" customHeight="1">
      <c r="A1348" s="232"/>
      <c r="H1348" s="231"/>
    </row>
    <row r="1349" spans="1:8" s="226" customFormat="1" ht="9.75" customHeight="1">
      <c r="A1349" s="232"/>
      <c r="H1349" s="231"/>
    </row>
    <row r="1350" spans="1:8" s="226" customFormat="1" ht="9.75" customHeight="1">
      <c r="A1350" s="232"/>
      <c r="H1350" s="231"/>
    </row>
    <row r="1351" spans="1:8" s="226" customFormat="1" ht="9.75" customHeight="1">
      <c r="A1351" s="232"/>
      <c r="H1351" s="231"/>
    </row>
    <row r="1352" spans="1:8" s="226" customFormat="1" ht="9.75" customHeight="1">
      <c r="A1352" s="232"/>
      <c r="H1352" s="231"/>
    </row>
    <row r="1353" spans="1:8" s="226" customFormat="1" ht="9.75" customHeight="1">
      <c r="A1353" s="232"/>
      <c r="H1353" s="231"/>
    </row>
    <row r="1354" spans="1:8" s="226" customFormat="1" ht="9.75" customHeight="1">
      <c r="A1354" s="232"/>
      <c r="H1354" s="231"/>
    </row>
    <row r="1355" spans="1:8" s="226" customFormat="1" ht="9.75" customHeight="1">
      <c r="A1355" s="232"/>
      <c r="H1355" s="231"/>
    </row>
    <row r="1356" spans="1:8" s="226" customFormat="1" ht="9.75" customHeight="1">
      <c r="A1356" s="232"/>
      <c r="H1356" s="231"/>
    </row>
    <row r="1357" spans="1:8" s="226" customFormat="1" ht="9.75" customHeight="1">
      <c r="A1357" s="232"/>
      <c r="H1357" s="231"/>
    </row>
    <row r="1358" spans="1:8" s="226" customFormat="1" ht="9.75" customHeight="1">
      <c r="A1358" s="232"/>
      <c r="H1358" s="231"/>
    </row>
    <row r="1359" spans="1:8" s="226" customFormat="1" ht="9.75" customHeight="1">
      <c r="A1359" s="232"/>
      <c r="H1359" s="231"/>
    </row>
    <row r="1360" spans="1:8" s="226" customFormat="1" ht="9.75" customHeight="1">
      <c r="A1360" s="232"/>
      <c r="H1360" s="231"/>
    </row>
    <row r="1361" spans="1:8" s="226" customFormat="1" ht="9.75" customHeight="1">
      <c r="A1361" s="232"/>
      <c r="H1361" s="231"/>
    </row>
    <row r="1362" spans="1:8" s="226" customFormat="1" ht="9.75" customHeight="1">
      <c r="A1362" s="232"/>
      <c r="H1362" s="231"/>
    </row>
    <row r="1363" spans="1:8" s="226" customFormat="1" ht="9.75" customHeight="1">
      <c r="A1363" s="232"/>
      <c r="H1363" s="231"/>
    </row>
    <row r="1364" spans="1:8" s="226" customFormat="1" ht="9.75" customHeight="1">
      <c r="A1364" s="232"/>
      <c r="H1364" s="231"/>
    </row>
    <row r="1365" spans="1:8" s="226" customFormat="1" ht="9.75" customHeight="1">
      <c r="A1365" s="232"/>
      <c r="H1365" s="231"/>
    </row>
    <row r="1366" spans="1:8" s="226" customFormat="1" ht="9.75" customHeight="1">
      <c r="A1366" s="232"/>
      <c r="H1366" s="231"/>
    </row>
    <row r="1367" spans="1:8" s="226" customFormat="1" ht="9.75" customHeight="1">
      <c r="A1367" s="232"/>
      <c r="H1367" s="231"/>
    </row>
    <row r="1368" spans="1:8" s="226" customFormat="1" ht="9.75" customHeight="1">
      <c r="A1368" s="232"/>
      <c r="H1368" s="231"/>
    </row>
    <row r="1369" spans="1:8" s="226" customFormat="1" ht="9.75" customHeight="1">
      <c r="A1369" s="232"/>
      <c r="H1369" s="231"/>
    </row>
    <row r="1370" spans="1:8" s="226" customFormat="1" ht="9.75" customHeight="1">
      <c r="A1370" s="232"/>
      <c r="H1370" s="231"/>
    </row>
    <row r="1371" spans="1:8" s="226" customFormat="1" ht="9.75" customHeight="1">
      <c r="A1371" s="232"/>
      <c r="H1371" s="231"/>
    </row>
    <row r="1372" spans="1:8" s="226" customFormat="1" ht="9.75" customHeight="1">
      <c r="A1372" s="232"/>
      <c r="H1372" s="231"/>
    </row>
    <row r="1373" spans="1:8" s="226" customFormat="1" ht="9.75" customHeight="1">
      <c r="A1373" s="232"/>
      <c r="H1373" s="231"/>
    </row>
    <row r="1374" spans="1:8" s="226" customFormat="1" ht="9.75" customHeight="1">
      <c r="A1374" s="232"/>
      <c r="H1374" s="231"/>
    </row>
    <row r="1375" spans="1:8" s="226" customFormat="1" ht="9.75" customHeight="1">
      <c r="A1375" s="232"/>
      <c r="H1375" s="231"/>
    </row>
    <row r="1376" spans="1:8" s="226" customFormat="1" ht="9.75" customHeight="1">
      <c r="A1376" s="232"/>
      <c r="H1376" s="231"/>
    </row>
    <row r="1377" spans="1:8" s="226" customFormat="1" ht="9.75" customHeight="1">
      <c r="A1377" s="232"/>
      <c r="H1377" s="231"/>
    </row>
    <row r="1378" spans="1:8" s="226" customFormat="1" ht="9.75" customHeight="1">
      <c r="A1378" s="232"/>
      <c r="H1378" s="231"/>
    </row>
    <row r="1379" spans="1:8" s="226" customFormat="1" ht="9.75" customHeight="1">
      <c r="A1379" s="232"/>
      <c r="H1379" s="231"/>
    </row>
    <row r="1380" spans="1:8" s="226" customFormat="1" ht="9.75" customHeight="1">
      <c r="A1380" s="232"/>
      <c r="H1380" s="231"/>
    </row>
    <row r="1381" spans="1:8" s="226" customFormat="1" ht="9.75" customHeight="1">
      <c r="A1381" s="232"/>
      <c r="H1381" s="231"/>
    </row>
    <row r="1382" spans="1:8" s="226" customFormat="1" ht="9.75" customHeight="1">
      <c r="A1382" s="232"/>
      <c r="H1382" s="231"/>
    </row>
    <row r="1383" spans="1:8" s="226" customFormat="1" ht="9.75" customHeight="1">
      <c r="A1383" s="232"/>
      <c r="H1383" s="231"/>
    </row>
    <row r="1384" spans="1:8" s="226" customFormat="1" ht="9.75" customHeight="1">
      <c r="A1384" s="232"/>
      <c r="H1384" s="231"/>
    </row>
    <row r="1385" spans="1:8" s="226" customFormat="1" ht="9.75" customHeight="1">
      <c r="A1385" s="232"/>
      <c r="H1385" s="231"/>
    </row>
    <row r="1386" spans="1:8" s="226" customFormat="1" ht="9.75" customHeight="1">
      <c r="A1386" s="232"/>
      <c r="H1386" s="231"/>
    </row>
    <row r="1387" spans="1:8" s="226" customFormat="1" ht="9.75" customHeight="1">
      <c r="A1387" s="232"/>
      <c r="H1387" s="231"/>
    </row>
    <row r="1388" spans="1:8" s="226" customFormat="1" ht="9.75" customHeight="1">
      <c r="A1388" s="232"/>
      <c r="H1388" s="231"/>
    </row>
    <row r="1389" spans="1:8" s="226" customFormat="1" ht="9.75" customHeight="1">
      <c r="A1389" s="232"/>
      <c r="H1389" s="231"/>
    </row>
    <row r="1390" spans="1:8" s="226" customFormat="1" ht="9.75" customHeight="1">
      <c r="A1390" s="232"/>
      <c r="H1390" s="231"/>
    </row>
    <row r="1391" spans="1:8" s="226" customFormat="1" ht="9.75" customHeight="1">
      <c r="A1391" s="232"/>
      <c r="H1391" s="231"/>
    </row>
    <row r="1392" spans="1:8" s="226" customFormat="1" ht="9.75" customHeight="1">
      <c r="A1392" s="232"/>
      <c r="H1392" s="231"/>
    </row>
    <row r="1393" spans="1:8" s="226" customFormat="1" ht="9.75" customHeight="1">
      <c r="A1393" s="232"/>
      <c r="H1393" s="231"/>
    </row>
    <row r="1394" spans="1:8" s="226" customFormat="1" ht="9.75" customHeight="1">
      <c r="A1394" s="232"/>
      <c r="H1394" s="231"/>
    </row>
    <row r="1395" spans="1:8" s="226" customFormat="1" ht="9.75" customHeight="1">
      <c r="A1395" s="232"/>
      <c r="H1395" s="231"/>
    </row>
    <row r="1396" spans="1:8" s="226" customFormat="1" ht="9.75" customHeight="1">
      <c r="A1396" s="232"/>
      <c r="H1396" s="231"/>
    </row>
    <row r="1397" spans="1:8" s="226" customFormat="1" ht="9.75" customHeight="1">
      <c r="A1397" s="232"/>
      <c r="H1397" s="231"/>
    </row>
    <row r="1398" spans="1:8" s="226" customFormat="1" ht="9.75" customHeight="1">
      <c r="A1398" s="232"/>
      <c r="H1398" s="231"/>
    </row>
    <row r="1399" spans="1:8" s="226" customFormat="1" ht="9.75" customHeight="1">
      <c r="A1399" s="232"/>
      <c r="H1399" s="231"/>
    </row>
    <row r="1400" spans="1:8" s="226" customFormat="1" ht="9.75" customHeight="1">
      <c r="A1400" s="232"/>
      <c r="H1400" s="231"/>
    </row>
    <row r="1401" spans="1:8" s="226" customFormat="1" ht="9.75" customHeight="1">
      <c r="A1401" s="232"/>
      <c r="H1401" s="231"/>
    </row>
    <row r="1402" spans="1:8" s="226" customFormat="1" ht="9.75" customHeight="1">
      <c r="A1402" s="232"/>
      <c r="H1402" s="231"/>
    </row>
    <row r="1403" spans="1:8" s="226" customFormat="1" ht="9.75" customHeight="1">
      <c r="A1403" s="232"/>
      <c r="H1403" s="231"/>
    </row>
    <row r="1404" spans="1:8" s="226" customFormat="1" ht="9.75" customHeight="1">
      <c r="A1404" s="232"/>
      <c r="H1404" s="231"/>
    </row>
    <row r="1405" spans="1:8" s="226" customFormat="1" ht="9.75" customHeight="1">
      <c r="A1405" s="232"/>
      <c r="H1405" s="231"/>
    </row>
    <row r="1406" spans="1:8" s="226" customFormat="1" ht="9.75" customHeight="1">
      <c r="A1406" s="232"/>
      <c r="H1406" s="231"/>
    </row>
    <row r="1407" spans="1:8" s="226" customFormat="1" ht="9.75" customHeight="1">
      <c r="A1407" s="232"/>
      <c r="H1407" s="231"/>
    </row>
    <row r="1408" spans="1:8" s="226" customFormat="1" ht="9.75" customHeight="1">
      <c r="A1408" s="232"/>
      <c r="H1408" s="231"/>
    </row>
    <row r="1409" spans="1:8" s="226" customFormat="1" ht="9.75" customHeight="1">
      <c r="A1409" s="232"/>
      <c r="H1409" s="231"/>
    </row>
    <row r="1410" spans="1:8" s="226" customFormat="1" ht="9.75" customHeight="1">
      <c r="A1410" s="232"/>
      <c r="H1410" s="231"/>
    </row>
    <row r="1411" spans="1:8" s="226" customFormat="1" ht="9.75" customHeight="1">
      <c r="A1411" s="232"/>
      <c r="H1411" s="231"/>
    </row>
    <row r="1412" spans="1:8" s="226" customFormat="1" ht="9.75" customHeight="1">
      <c r="A1412" s="232"/>
      <c r="H1412" s="231"/>
    </row>
    <row r="1413" spans="1:8" s="226" customFormat="1" ht="9.75" customHeight="1">
      <c r="A1413" s="232"/>
      <c r="H1413" s="231"/>
    </row>
    <row r="1414" spans="1:8" s="226" customFormat="1" ht="9.75" customHeight="1">
      <c r="A1414" s="232"/>
      <c r="H1414" s="231"/>
    </row>
    <row r="1415" spans="1:8" s="226" customFormat="1" ht="9.75" customHeight="1">
      <c r="A1415" s="232"/>
      <c r="H1415" s="231"/>
    </row>
    <row r="1416" spans="1:8" s="226" customFormat="1" ht="9.75" customHeight="1">
      <c r="A1416" s="232"/>
      <c r="H1416" s="231"/>
    </row>
    <row r="1417" spans="1:8" s="226" customFormat="1" ht="9.75" customHeight="1">
      <c r="A1417" s="232"/>
      <c r="H1417" s="231"/>
    </row>
    <row r="1418" spans="1:8" s="226" customFormat="1" ht="9.75" customHeight="1">
      <c r="A1418" s="232"/>
      <c r="H1418" s="231"/>
    </row>
    <row r="1419" spans="1:8" s="226" customFormat="1" ht="9.75" customHeight="1">
      <c r="A1419" s="232"/>
      <c r="H1419" s="231"/>
    </row>
    <row r="1420" spans="1:8" s="226" customFormat="1" ht="9.75" customHeight="1">
      <c r="A1420" s="232"/>
      <c r="H1420" s="231"/>
    </row>
    <row r="1421" spans="1:8" s="226" customFormat="1" ht="9.75" customHeight="1">
      <c r="A1421" s="232"/>
      <c r="H1421" s="231"/>
    </row>
    <row r="1422" spans="1:8" s="226" customFormat="1" ht="9.75" customHeight="1">
      <c r="A1422" s="232"/>
      <c r="H1422" s="231"/>
    </row>
    <row r="1423" spans="1:8" s="226" customFormat="1" ht="9.75" customHeight="1">
      <c r="A1423" s="232"/>
      <c r="H1423" s="231"/>
    </row>
    <row r="1424" spans="1:8" s="226" customFormat="1" ht="9.75" customHeight="1">
      <c r="A1424" s="232"/>
      <c r="H1424" s="231"/>
    </row>
    <row r="1425" spans="1:8" s="226" customFormat="1" ht="9.75" customHeight="1">
      <c r="A1425" s="232"/>
      <c r="H1425" s="231"/>
    </row>
    <row r="1426" spans="1:8" s="226" customFormat="1" ht="9.75" customHeight="1">
      <c r="A1426" s="232"/>
      <c r="H1426" s="231"/>
    </row>
    <row r="1427" spans="1:8" s="226" customFormat="1" ht="9.75" customHeight="1">
      <c r="A1427" s="232"/>
      <c r="H1427" s="231"/>
    </row>
    <row r="1428" spans="1:8" s="226" customFormat="1" ht="9.75" customHeight="1">
      <c r="A1428" s="232"/>
      <c r="H1428" s="231"/>
    </row>
    <row r="1429" spans="1:8" s="226" customFormat="1" ht="9.75" customHeight="1">
      <c r="A1429" s="232"/>
      <c r="H1429" s="231"/>
    </row>
    <row r="1430" spans="1:8" s="226" customFormat="1" ht="9.75" customHeight="1">
      <c r="A1430" s="232"/>
      <c r="H1430" s="231"/>
    </row>
    <row r="1431" spans="1:8" s="226" customFormat="1" ht="9.75" customHeight="1">
      <c r="A1431" s="232"/>
      <c r="H1431" s="231"/>
    </row>
    <row r="1432" spans="1:8" s="226" customFormat="1" ht="9.75" customHeight="1">
      <c r="A1432" s="232"/>
      <c r="H1432" s="231"/>
    </row>
    <row r="1433" spans="1:8" s="226" customFormat="1" ht="9.75" customHeight="1">
      <c r="A1433" s="232"/>
      <c r="H1433" s="231"/>
    </row>
    <row r="1434" spans="1:8" s="226" customFormat="1" ht="9.75" customHeight="1">
      <c r="A1434" s="232"/>
      <c r="H1434" s="231"/>
    </row>
    <row r="1435" spans="1:8" s="226" customFormat="1" ht="9.75" customHeight="1">
      <c r="A1435" s="232"/>
      <c r="H1435" s="231"/>
    </row>
    <row r="1436" spans="1:8" s="226" customFormat="1" ht="9.75" customHeight="1">
      <c r="A1436" s="232"/>
      <c r="H1436" s="231"/>
    </row>
    <row r="1437" spans="1:8" s="226" customFormat="1" ht="9.75" customHeight="1">
      <c r="A1437" s="232"/>
      <c r="H1437" s="231"/>
    </row>
    <row r="1438" spans="1:8" s="226" customFormat="1" ht="9.75" customHeight="1">
      <c r="A1438" s="232"/>
      <c r="H1438" s="231"/>
    </row>
    <row r="1439" spans="1:8" s="226" customFormat="1" ht="9.75" customHeight="1">
      <c r="A1439" s="232"/>
      <c r="H1439" s="231"/>
    </row>
    <row r="1440" spans="1:8" s="226" customFormat="1" ht="9.75" customHeight="1">
      <c r="A1440" s="232"/>
      <c r="H1440" s="231"/>
    </row>
    <row r="1441" spans="1:8" s="226" customFormat="1" ht="9.75" customHeight="1">
      <c r="A1441" s="232"/>
      <c r="H1441" s="231"/>
    </row>
    <row r="1442" spans="1:8" s="226" customFormat="1" ht="9.75" customHeight="1">
      <c r="A1442" s="232"/>
      <c r="H1442" s="231"/>
    </row>
    <row r="1443" spans="1:8" s="226" customFormat="1" ht="9.75" customHeight="1">
      <c r="A1443" s="232"/>
      <c r="H1443" s="231"/>
    </row>
    <row r="1444" spans="1:8" s="226" customFormat="1" ht="9.75" customHeight="1">
      <c r="A1444" s="232"/>
      <c r="H1444" s="231"/>
    </row>
    <row r="1445" spans="1:8" s="226" customFormat="1" ht="9.75" customHeight="1">
      <c r="A1445" s="232"/>
      <c r="H1445" s="231"/>
    </row>
    <row r="1446" spans="1:8" s="226" customFormat="1" ht="9.75" customHeight="1">
      <c r="A1446" s="232"/>
      <c r="H1446" s="231"/>
    </row>
    <row r="1447" spans="1:8" s="226" customFormat="1" ht="9.75" customHeight="1">
      <c r="A1447" s="232"/>
      <c r="H1447" s="231"/>
    </row>
    <row r="1448" spans="1:8" s="226" customFormat="1" ht="9.75" customHeight="1">
      <c r="A1448" s="232"/>
      <c r="H1448" s="231"/>
    </row>
    <row r="1449" spans="1:8" s="226" customFormat="1" ht="9.75" customHeight="1">
      <c r="A1449" s="232"/>
      <c r="H1449" s="231"/>
    </row>
    <row r="1450" spans="1:8" s="226" customFormat="1" ht="9.75" customHeight="1">
      <c r="A1450" s="232"/>
      <c r="H1450" s="231"/>
    </row>
    <row r="1451" spans="1:8" s="226" customFormat="1" ht="9.75" customHeight="1">
      <c r="A1451" s="232"/>
      <c r="H1451" s="231"/>
    </row>
    <row r="1452" spans="1:8" s="226" customFormat="1" ht="9.75" customHeight="1">
      <c r="A1452" s="232"/>
      <c r="H1452" s="231"/>
    </row>
    <row r="1453" spans="1:8" s="226" customFormat="1" ht="9.75" customHeight="1">
      <c r="A1453" s="232"/>
      <c r="H1453" s="231"/>
    </row>
    <row r="1454" spans="1:8" s="226" customFormat="1" ht="9.75" customHeight="1">
      <c r="A1454" s="232"/>
      <c r="H1454" s="231"/>
    </row>
    <row r="1455" spans="1:8" s="226" customFormat="1" ht="9.75" customHeight="1">
      <c r="A1455" s="232"/>
      <c r="H1455" s="231"/>
    </row>
    <row r="1456" spans="1:8" s="226" customFormat="1" ht="9.75" customHeight="1">
      <c r="A1456" s="232"/>
      <c r="H1456" s="231"/>
    </row>
  </sheetData>
  <mergeCells count="25">
    <mergeCell ref="AN2:AN3"/>
    <mergeCell ref="B4:AB4"/>
    <mergeCell ref="AD4:AG4"/>
    <mergeCell ref="AH4:AK4"/>
    <mergeCell ref="AC2:AC3"/>
    <mergeCell ref="AD2:AD3"/>
    <mergeCell ref="AG2:AG3"/>
    <mergeCell ref="Z2:Z3"/>
    <mergeCell ref="N2:Q2"/>
    <mergeCell ref="R2:U2"/>
    <mergeCell ref="V2:Y2"/>
    <mergeCell ref="AK2:AK3"/>
    <mergeCell ref="AL2:AL3"/>
    <mergeCell ref="AA2:AA3"/>
    <mergeCell ref="AB2:AB3"/>
    <mergeCell ref="AM2:AM3"/>
    <mergeCell ref="AE2:AF2"/>
    <mergeCell ref="AH2:AJ2"/>
    <mergeCell ref="A1:I1"/>
    <mergeCell ref="A2:A3"/>
    <mergeCell ref="B2:B3"/>
    <mergeCell ref="I2:I3"/>
    <mergeCell ref="J2:M2"/>
    <mergeCell ref="C2:H2"/>
    <mergeCell ref="J1:L1"/>
  </mergeCells>
  <pageMargins left="0.15748031496062992" right="0.15748031496062992" top="0.35433070866141736" bottom="0.19685039370078741" header="0.15748031496062992" footer="0.19685039370078741"/>
  <pageSetup paperSize="9" scale="93" orientation="landscape" r:id="rId1"/>
  <headerFooter>
    <oddHeader>&amp;C&amp;F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L53"/>
  <sheetViews>
    <sheetView topLeftCell="A13" zoomScale="110" zoomScaleNormal="110" workbookViewId="0">
      <selection activeCell="J41" sqref="J41"/>
    </sheetView>
  </sheetViews>
  <sheetFormatPr defaultColWidth="5.85546875" defaultRowHeight="8.25" outlineLevelRow="2" outlineLevelCol="1"/>
  <cols>
    <col min="1" max="1" width="0.85546875" style="85" customWidth="1"/>
    <col min="2" max="2" width="33.85546875" style="85" customWidth="1"/>
    <col min="3" max="7" width="9.42578125" style="85" hidden="1" customWidth="1" outlineLevel="1"/>
    <col min="8" max="8" width="9.42578125" style="85" customWidth="1" collapsed="1"/>
    <col min="9" max="11" width="9.42578125" style="85" customWidth="1"/>
    <col min="12" max="12" width="9.42578125" style="85" customWidth="1" outlineLevel="1"/>
    <col min="13" max="115" width="5.28515625" style="85" customWidth="1"/>
    <col min="116" max="16384" width="5.85546875" style="85"/>
  </cols>
  <sheetData>
    <row r="1" spans="1:12" s="83" customFormat="1" ht="9" thickBot="1">
      <c r="A1" s="81" t="s">
        <v>664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2" ht="18">
      <c r="A2" s="84"/>
      <c r="B2" s="179"/>
      <c r="C2" s="179" t="s">
        <v>580</v>
      </c>
      <c r="D2" s="179" t="s">
        <v>579</v>
      </c>
      <c r="E2" s="179" t="s">
        <v>593</v>
      </c>
      <c r="F2" s="179" t="s">
        <v>594</v>
      </c>
      <c r="G2" s="198" t="s">
        <v>595</v>
      </c>
      <c r="H2" s="179" t="s">
        <v>591</v>
      </c>
      <c r="I2" s="179"/>
      <c r="J2" s="179" t="s">
        <v>294</v>
      </c>
      <c r="K2" s="198" t="s">
        <v>603</v>
      </c>
      <c r="L2" s="209" t="s">
        <v>355</v>
      </c>
    </row>
    <row r="3" spans="1:12" ht="9">
      <c r="A3" s="195"/>
      <c r="B3" s="179"/>
      <c r="C3" s="179"/>
      <c r="D3" s="179"/>
      <c r="E3" s="179"/>
      <c r="F3" s="179"/>
      <c r="G3" s="198"/>
      <c r="H3" s="179"/>
      <c r="I3" s="179"/>
      <c r="J3" s="179"/>
      <c r="K3" s="198"/>
      <c r="L3" s="209"/>
    </row>
    <row r="4" spans="1:12" ht="9">
      <c r="A4" s="195"/>
      <c r="B4" s="179" t="s">
        <v>4</v>
      </c>
      <c r="C4" s="175">
        <f>'[1]затраты КРС'!C4</f>
        <v>0</v>
      </c>
      <c r="D4" s="175">
        <f>'[1]затраты КРС'!D4</f>
        <v>0</v>
      </c>
      <c r="E4" s="175">
        <f>'[1]затраты КРС'!E4</f>
        <v>0</v>
      </c>
      <c r="F4" s="175">
        <f>'[1]затраты КРС'!F4</f>
        <v>0</v>
      </c>
      <c r="G4" s="199">
        <f>SUM(C4:F4)</f>
        <v>0</v>
      </c>
      <c r="H4" s="196">
        <f>'[1]затраты КРС'!H4</f>
        <v>39286.5</v>
      </c>
      <c r="I4" s="196"/>
      <c r="J4" s="196">
        <f>'[1]затраты КРС'!J4</f>
        <v>0</v>
      </c>
      <c r="K4" s="199">
        <f>SUM(H4:J4)</f>
        <v>39286.5</v>
      </c>
      <c r="L4" s="210">
        <f>G4+K4</f>
        <v>39286.5</v>
      </c>
    </row>
    <row r="5" spans="1:12" s="87" customFormat="1" ht="9">
      <c r="A5" s="86"/>
      <c r="B5" s="175" t="s">
        <v>356</v>
      </c>
      <c r="C5" s="175">
        <f>'[1]затраты КРС'!C5</f>
        <v>0</v>
      </c>
      <c r="D5" s="175">
        <f>'[1]затраты КРС'!D5</f>
        <v>0</v>
      </c>
      <c r="E5" s="175">
        <f>'[1]затраты КРС'!E5</f>
        <v>0</v>
      </c>
      <c r="F5" s="175">
        <f>'[1]затраты КРС'!F5</f>
        <v>0</v>
      </c>
      <c r="G5" s="201">
        <f>'[1]затраты КРС'!G5</f>
        <v>0</v>
      </c>
      <c r="H5" s="181"/>
      <c r="I5" s="181"/>
      <c r="J5" s="181">
        <f>обор.КРС!L37+[2]КРС!$L$37</f>
        <v>43.694499999999991</v>
      </c>
      <c r="K5" s="208">
        <f>SUM(H5:J5)</f>
        <v>43.694499999999991</v>
      </c>
      <c r="L5" s="211">
        <f>G5+K5</f>
        <v>43.694499999999991</v>
      </c>
    </row>
    <row r="6" spans="1:12" s="87" customFormat="1">
      <c r="A6" s="86"/>
      <c r="B6" s="175" t="s">
        <v>592</v>
      </c>
      <c r="C6" s="175"/>
      <c r="D6" s="175"/>
      <c r="E6" s="175"/>
      <c r="F6" s="175"/>
      <c r="G6" s="201"/>
      <c r="H6" s="175">
        <f>'[1]затраты КРС'!H6+'[2]затраты КРС'!$H$6</f>
        <v>677.63499999999999</v>
      </c>
      <c r="I6" s="181"/>
      <c r="J6" s="175">
        <f>'[1]затраты КРС'!J6</f>
        <v>0</v>
      </c>
      <c r="K6" s="201"/>
      <c r="L6" s="212"/>
    </row>
    <row r="7" spans="1:12" s="87" customFormat="1" ht="9" thickBot="1">
      <c r="A7" s="90"/>
      <c r="B7" s="175" t="s">
        <v>58</v>
      </c>
      <c r="C7" s="2536" t="s">
        <v>122</v>
      </c>
      <c r="D7" s="2537"/>
      <c r="E7" s="2537"/>
      <c r="F7" s="2537"/>
      <c r="G7" s="2537"/>
      <c r="H7" s="2537"/>
      <c r="I7" s="2537"/>
      <c r="J7" s="2537"/>
      <c r="K7" s="2537"/>
      <c r="L7" s="2538"/>
    </row>
    <row r="8" spans="1:12" s="87" customFormat="1">
      <c r="A8" s="86"/>
      <c r="B8" s="182" t="s">
        <v>60</v>
      </c>
      <c r="C8" s="183">
        <f>SUM(C9,C12,C15:C17,C18:C18)</f>
        <v>0</v>
      </c>
      <c r="D8" s="183">
        <f t="shared" ref="D8:L8" si="0">SUM(D9,D12,D15:D17,D18:D18)</f>
        <v>0</v>
      </c>
      <c r="E8" s="183">
        <f t="shared" si="0"/>
        <v>0</v>
      </c>
      <c r="F8" s="183">
        <f t="shared" si="0"/>
        <v>0</v>
      </c>
      <c r="G8" s="202">
        <f t="shared" si="0"/>
        <v>0</v>
      </c>
      <c r="H8" s="183">
        <f t="shared" si="0"/>
        <v>9098.4941183333322</v>
      </c>
      <c r="I8" s="183">
        <f t="shared" si="0"/>
        <v>0</v>
      </c>
      <c r="J8" s="183">
        <f t="shared" si="0"/>
        <v>5757.9677791008371</v>
      </c>
      <c r="K8" s="202">
        <f t="shared" si="0"/>
        <v>14856.46189743417</v>
      </c>
      <c r="L8" s="213">
        <f t="shared" si="0"/>
        <v>14856.46189743417</v>
      </c>
    </row>
    <row r="9" spans="1:12" ht="9">
      <c r="A9" s="91"/>
      <c r="B9" s="176" t="s">
        <v>503</v>
      </c>
      <c r="C9" s="175">
        <f>'[1]затраты КРС'!C9</f>
        <v>0</v>
      </c>
      <c r="D9" s="175">
        <f>'[1]затраты КРС'!D9</f>
        <v>0</v>
      </c>
      <c r="E9" s="175">
        <f>'[1]затраты КРС'!E9</f>
        <v>0</v>
      </c>
      <c r="F9" s="175">
        <f>'[1]затраты КРС'!F9</f>
        <v>0</v>
      </c>
      <c r="G9" s="198">
        <f>SUM(C9:F9)</f>
        <v>0</v>
      </c>
      <c r="H9" s="2310">
        <f>'[1]затраты КРС'!H9+'[2]затраты КРС'!H9</f>
        <v>4712.189625</v>
      </c>
      <c r="I9" s="175">
        <f>'[1]затраты КРС'!I9</f>
        <v>0</v>
      </c>
      <c r="J9" s="2310">
        <f>'[1]затраты КРС'!J9+'[2]затраты КРС'!J9</f>
        <v>2681.8643025000001</v>
      </c>
      <c r="K9" s="204">
        <f>SUM(H9:J9)</f>
        <v>7394.0539275000001</v>
      </c>
      <c r="L9" s="212">
        <f>G9+K9</f>
        <v>7394.0539275000001</v>
      </c>
    </row>
    <row r="10" spans="1:12" s="94" customFormat="1" ht="9">
      <c r="A10" s="93"/>
      <c r="B10" s="176" t="s">
        <v>123</v>
      </c>
      <c r="C10" s="175">
        <f>'[1]затраты КРС'!C10</f>
        <v>0</v>
      </c>
      <c r="D10" s="175">
        <f>'[1]затраты КРС'!D10</f>
        <v>0</v>
      </c>
      <c r="E10" s="175">
        <f>'[1]затраты КРС'!E10</f>
        <v>0</v>
      </c>
      <c r="F10" s="175">
        <f>'[1]затраты КРС'!F10</f>
        <v>0</v>
      </c>
      <c r="G10" s="198">
        <f>SUM(C10:F10)</f>
        <v>0</v>
      </c>
      <c r="H10" s="2310">
        <f>'[1]затраты КРС'!H10+'[2]затраты КРС'!H10</f>
        <v>329.52375000000001</v>
      </c>
      <c r="I10" s="175">
        <f>'[1]затраты КРС'!I10</f>
        <v>0</v>
      </c>
      <c r="J10" s="2310">
        <f>'[1]затраты КРС'!J10+'[2]затраты КРС'!J10</f>
        <v>147.41174999999998</v>
      </c>
      <c r="K10" s="204">
        <f>SUM(H10:J10)</f>
        <v>476.93549999999999</v>
      </c>
      <c r="L10" s="212">
        <f>G10+K10</f>
        <v>476.93549999999999</v>
      </c>
    </row>
    <row r="11" spans="1:12" s="96" customFormat="1" ht="9">
      <c r="A11" s="95"/>
      <c r="B11" s="184" t="s">
        <v>63</v>
      </c>
      <c r="C11" s="184" t="e">
        <f t="shared" ref="C11:H11" si="1">C9/C10*1000</f>
        <v>#DIV/0!</v>
      </c>
      <c r="D11" s="184" t="e">
        <f t="shared" si="1"/>
        <v>#DIV/0!</v>
      </c>
      <c r="E11" s="184" t="e">
        <f t="shared" si="1"/>
        <v>#DIV/0!</v>
      </c>
      <c r="F11" s="184"/>
      <c r="G11" s="203" t="e">
        <f t="shared" si="1"/>
        <v>#DIV/0!</v>
      </c>
      <c r="H11" s="184">
        <f t="shared" si="1"/>
        <v>14299.999999999998</v>
      </c>
      <c r="I11" s="184" t="e">
        <f>I9/I10*1000</f>
        <v>#DIV/0!</v>
      </c>
      <c r="J11" s="184">
        <f>J9/J10*1000</f>
        <v>18193.015838289692</v>
      </c>
      <c r="K11" s="203">
        <f>K9/K10*1000</f>
        <v>15503.257626031193</v>
      </c>
      <c r="L11" s="214">
        <f>L9/L10*1000</f>
        <v>15503.257626031193</v>
      </c>
    </row>
    <row r="12" spans="1:12" ht="9">
      <c r="A12" s="91"/>
      <c r="B12" s="176" t="s">
        <v>124</v>
      </c>
      <c r="C12" s="176"/>
      <c r="D12" s="176"/>
      <c r="E12" s="176"/>
      <c r="F12" s="175">
        <f>'[1]затраты КРС'!F12</f>
        <v>0</v>
      </c>
      <c r="G12" s="198">
        <f>SUM(C12:F12)</f>
        <v>0</v>
      </c>
      <c r="H12" s="176"/>
      <c r="I12" s="175">
        <f>'[1]затраты КРС'!I12</f>
        <v>0</v>
      </c>
      <c r="J12" s="176"/>
      <c r="K12" s="204">
        <f>SUM(H12:J12)</f>
        <v>0</v>
      </c>
      <c r="L12" s="212">
        <f>G12+K12</f>
        <v>0</v>
      </c>
    </row>
    <row r="13" spans="1:12" s="94" customFormat="1" ht="9">
      <c r="A13" s="93"/>
      <c r="B13" s="176" t="s">
        <v>123</v>
      </c>
      <c r="C13" s="175">
        <f>'[1]затраты КРС'!C13</f>
        <v>0</v>
      </c>
      <c r="D13" s="175">
        <f>'[1]затраты КРС'!D13</f>
        <v>0</v>
      </c>
      <c r="E13" s="175">
        <f>'[1]затраты КРС'!E13</f>
        <v>0</v>
      </c>
      <c r="F13" s="175">
        <f>'[1]затраты КРС'!F13</f>
        <v>0</v>
      </c>
      <c r="G13" s="198">
        <f>SUM(C13:F13)</f>
        <v>0</v>
      </c>
      <c r="H13" s="176"/>
      <c r="I13" s="175">
        <f>'[1]затраты КРС'!I13</f>
        <v>0</v>
      </c>
      <c r="J13" s="176"/>
      <c r="K13" s="204">
        <f>SUM(H13:J13)</f>
        <v>0</v>
      </c>
      <c r="L13" s="212">
        <f>G13+K13</f>
        <v>0</v>
      </c>
    </row>
    <row r="14" spans="1:12" s="96" customFormat="1" ht="9">
      <c r="A14" s="95"/>
      <c r="B14" s="184" t="s">
        <v>63</v>
      </c>
      <c r="C14" s="175">
        <f>'[1]затраты КРС'!C14</f>
        <v>0</v>
      </c>
      <c r="D14" s="175">
        <f>'[1]затраты КРС'!D14</f>
        <v>150000</v>
      </c>
      <c r="E14" s="175">
        <f>'[1]затраты КРС'!E14</f>
        <v>18000</v>
      </c>
      <c r="F14" s="175" t="e">
        <f>'[1]затраты КРС'!F14</f>
        <v>#DIV/0!</v>
      </c>
      <c r="G14" s="203" t="e">
        <f>G12/G13*1000</f>
        <v>#DIV/0!</v>
      </c>
      <c r="H14" s="184"/>
      <c r="I14" s="175" t="e">
        <f>'[1]затраты КРС'!I14</f>
        <v>#DIV/0!</v>
      </c>
      <c r="J14" s="184"/>
      <c r="K14" s="203" t="e">
        <f>K12/K13*1000</f>
        <v>#DIV/0!</v>
      </c>
      <c r="L14" s="214" t="e">
        <f>L12/L13*1000</f>
        <v>#DIV/0!</v>
      </c>
    </row>
    <row r="15" spans="1:12" s="98" customFormat="1" ht="9">
      <c r="A15" s="97"/>
      <c r="B15" s="176" t="s">
        <v>125</v>
      </c>
      <c r="C15" s="175">
        <f>'[1]затраты КРС'!C15</f>
        <v>0</v>
      </c>
      <c r="D15" s="175">
        <f>'[1]затраты КРС'!D15</f>
        <v>0</v>
      </c>
      <c r="E15" s="175">
        <f>'[1]затраты КРС'!E15</f>
        <v>0</v>
      </c>
      <c r="F15" s="175">
        <f>'[1]затраты КРС'!F15</f>
        <v>0</v>
      </c>
      <c r="G15" s="198">
        <f>SUM(C15:F15)</f>
        <v>0</v>
      </c>
      <c r="H15" s="2310">
        <f>'[1]затраты КРС'!H15+'[2]затраты КРС'!H15</f>
        <v>2004.6499100000001</v>
      </c>
      <c r="I15" s="175">
        <f>'[1]затраты КРС'!I15</f>
        <v>0</v>
      </c>
      <c r="J15" s="2310">
        <f>'[1]затраты КРС'!J15+'[2]затраты КРС'!J15</f>
        <v>345.32556745223729</v>
      </c>
      <c r="K15" s="204">
        <f t="shared" ref="K15:K21" si="2">SUM(H15:J15)</f>
        <v>2349.9754774522376</v>
      </c>
      <c r="L15" s="212">
        <f t="shared" ref="L15:L20" si="3">G15+K15</f>
        <v>2349.9754774522376</v>
      </c>
    </row>
    <row r="16" spans="1:12" s="94" customFormat="1" ht="9">
      <c r="A16" s="93"/>
      <c r="B16" s="176" t="s">
        <v>126</v>
      </c>
      <c r="C16" s="176"/>
      <c r="D16" s="176"/>
      <c r="E16" s="176"/>
      <c r="F16" s="176"/>
      <c r="G16" s="198">
        <f t="shared" ref="G16:G31" si="4">SUM(C16:F16)</f>
        <v>0</v>
      </c>
      <c r="H16" s="2310">
        <f>'[1]затраты КРС'!H16+'[2]затраты КРС'!H16</f>
        <v>1975.82125</v>
      </c>
      <c r="I16" s="176"/>
      <c r="J16" s="2310">
        <f>'[1]затраты КРС'!J16+'[2]затраты КРС'!J16</f>
        <v>1615.7779091485997</v>
      </c>
      <c r="K16" s="204">
        <f t="shared" si="2"/>
        <v>3591.5991591485999</v>
      </c>
      <c r="L16" s="212">
        <f t="shared" si="3"/>
        <v>3591.5991591485999</v>
      </c>
    </row>
    <row r="17" spans="1:12" s="98" customFormat="1" ht="9">
      <c r="A17" s="97"/>
      <c r="B17" s="176" t="s">
        <v>127</v>
      </c>
      <c r="C17" s="175">
        <f>'[1]затраты КРС'!C17</f>
        <v>0</v>
      </c>
      <c r="D17" s="175">
        <f>'[1]затраты КРС'!D17</f>
        <v>0</v>
      </c>
      <c r="E17" s="175">
        <f>'[1]затраты КРС'!E17</f>
        <v>0</v>
      </c>
      <c r="F17" s="175">
        <f>'[1]затраты КРС'!F17</f>
        <v>0</v>
      </c>
      <c r="G17" s="198">
        <f t="shared" si="4"/>
        <v>0</v>
      </c>
      <c r="H17" s="2310">
        <f>'[1]затраты КРС'!H17+'[2]затраты КРС'!H17</f>
        <v>91.666666666666671</v>
      </c>
      <c r="I17" s="175">
        <f>'[1]затраты КРС'!I17</f>
        <v>0</v>
      </c>
      <c r="J17" s="2310">
        <f>'[1]затраты КРС'!J17+'[2]затраты КРС'!J17</f>
        <v>115</v>
      </c>
      <c r="K17" s="204">
        <f t="shared" si="2"/>
        <v>206.66666666666669</v>
      </c>
      <c r="L17" s="212">
        <f t="shared" si="3"/>
        <v>206.66666666666669</v>
      </c>
    </row>
    <row r="18" spans="1:12" ht="9">
      <c r="A18" s="91"/>
      <c r="B18" s="185" t="s">
        <v>71</v>
      </c>
      <c r="C18" s="175">
        <f>'[1]затраты КРС'!C18</f>
        <v>0</v>
      </c>
      <c r="D18" s="175">
        <f>'[1]затраты КРС'!D18</f>
        <v>0</v>
      </c>
      <c r="E18" s="175">
        <f>'[1]затраты КРС'!E18</f>
        <v>0</v>
      </c>
      <c r="F18" s="175">
        <f>'[1]затраты КРС'!F18</f>
        <v>0</v>
      </c>
      <c r="G18" s="198">
        <f t="shared" si="4"/>
        <v>0</v>
      </c>
      <c r="H18" s="2310">
        <f>'[1]затраты КРС'!H18+'[2]затраты КРС'!H18</f>
        <v>314.16666666666669</v>
      </c>
      <c r="I18" s="175">
        <f>'[1]затраты КРС'!I18</f>
        <v>0</v>
      </c>
      <c r="J18" s="2310">
        <f>'[1]затраты КРС'!J18+'[2]затраты КРС'!J18</f>
        <v>1000</v>
      </c>
      <c r="K18" s="204">
        <f t="shared" si="2"/>
        <v>1314.1666666666667</v>
      </c>
      <c r="L18" s="212">
        <f t="shared" si="3"/>
        <v>1314.1666666666667</v>
      </c>
    </row>
    <row r="19" spans="1:12" s="714" customFormat="1" ht="9">
      <c r="A19" s="712"/>
      <c r="B19" s="88" t="s">
        <v>72</v>
      </c>
      <c r="C19" s="175">
        <f>'[1]затраты КРС'!C19</f>
        <v>0</v>
      </c>
      <c r="D19" s="175">
        <f>'[1]затраты КРС'!D19</f>
        <v>0</v>
      </c>
      <c r="E19" s="175">
        <f>'[1]затраты КРС'!E19</f>
        <v>0</v>
      </c>
      <c r="F19" s="175">
        <f>'[1]затраты КРС'!F19</f>
        <v>0</v>
      </c>
      <c r="G19" s="198">
        <f t="shared" si="4"/>
        <v>0</v>
      </c>
      <c r="H19" s="2310">
        <f>'[1]затраты КРС'!H19+'[2]затраты КРС'!H19</f>
        <v>1015.5800200000001</v>
      </c>
      <c r="I19" s="175">
        <f>'[1]затраты КРС'!I19</f>
        <v>0</v>
      </c>
      <c r="J19" s="2310">
        <f>'[1]затраты КРС'!J19+'[2]затраты КРС'!J19</f>
        <v>60.863399999999999</v>
      </c>
      <c r="K19" s="204">
        <f t="shared" si="2"/>
        <v>1076.4434200000001</v>
      </c>
      <c r="L19" s="212">
        <f t="shared" si="3"/>
        <v>1076.4434200000001</v>
      </c>
    </row>
    <row r="20" spans="1:12" s="87" customFormat="1" ht="9">
      <c r="A20" s="86"/>
      <c r="B20" s="88" t="s">
        <v>73</v>
      </c>
      <c r="C20" s="175">
        <f>'[1]затраты КРС'!C20</f>
        <v>0</v>
      </c>
      <c r="D20" s="175">
        <f>'[1]затраты КРС'!D20</f>
        <v>0</v>
      </c>
      <c r="E20" s="175">
        <f>'[1]затраты КРС'!E20</f>
        <v>0</v>
      </c>
      <c r="F20" s="175">
        <f>'[1]затраты КРС'!F20</f>
        <v>0</v>
      </c>
      <c r="G20" s="198">
        <f>SUM(C20:F20)</f>
        <v>0</v>
      </c>
      <c r="H20" s="2310">
        <f>'[1]затраты КРС'!H20+'[2]затраты КРС'!H20</f>
        <v>1130</v>
      </c>
      <c r="I20" s="175">
        <f>'[1]затраты КРС'!I20</f>
        <v>0</v>
      </c>
      <c r="J20" s="2310">
        <f>'[1]затраты КРС'!J20+'[2]затраты КРС'!J20</f>
        <v>1320</v>
      </c>
      <c r="K20" s="204">
        <f t="shared" si="2"/>
        <v>2450</v>
      </c>
      <c r="L20" s="212">
        <f t="shared" si="3"/>
        <v>2450</v>
      </c>
    </row>
    <row r="21" spans="1:12" s="87" customFormat="1" ht="9">
      <c r="A21" s="86"/>
      <c r="B21" s="89" t="s">
        <v>74</v>
      </c>
      <c r="C21" s="88"/>
      <c r="D21" s="88"/>
      <c r="E21" s="88"/>
      <c r="F21" s="88"/>
      <c r="G21" s="198">
        <f t="shared" ref="G21" si="5">SUM(C21:F21)</f>
        <v>0</v>
      </c>
      <c r="H21" s="2310">
        <f>'[1]затраты КРС'!H21+'[2]затраты КРС'!H21</f>
        <v>354.36799999999999</v>
      </c>
      <c r="I21" s="88"/>
      <c r="J21" s="2310">
        <f>'[1]затраты КРС'!J21+'[2]затраты КРС'!J21</f>
        <v>413.952</v>
      </c>
      <c r="K21" s="204">
        <f t="shared" si="2"/>
        <v>768.31999999999994</v>
      </c>
      <c r="L21" s="212">
        <f t="shared" ref="L21" si="6">G21+K21</f>
        <v>768.31999999999994</v>
      </c>
    </row>
    <row r="22" spans="1:12" s="87" customFormat="1" ht="9" customHeight="1" outlineLevel="2">
      <c r="A22" s="86"/>
      <c r="B22" s="88" t="s">
        <v>75</v>
      </c>
      <c r="C22" s="176">
        <f>C23+C24+C25</f>
        <v>0</v>
      </c>
      <c r="D22" s="176">
        <f>D23+D24+D25</f>
        <v>0</v>
      </c>
      <c r="E22" s="176">
        <f>E23+E24+E25</f>
        <v>0</v>
      </c>
      <c r="F22" s="176">
        <f>F23+F24+F25</f>
        <v>0</v>
      </c>
      <c r="G22" s="204">
        <f t="shared" ref="G22:L22" si="7">G23+G24+G25</f>
        <v>0</v>
      </c>
      <c r="H22" s="176">
        <f>H23+H24+H25</f>
        <v>125</v>
      </c>
      <c r="I22" s="176">
        <f>I23+I24+I25</f>
        <v>0</v>
      </c>
      <c r="J22" s="176">
        <f>J23+J24+J25</f>
        <v>100</v>
      </c>
      <c r="K22" s="204">
        <f t="shared" si="7"/>
        <v>225</v>
      </c>
      <c r="L22" s="325">
        <f t="shared" si="7"/>
        <v>225</v>
      </c>
    </row>
    <row r="23" spans="1:12" s="87" customFormat="1" ht="9" customHeight="1" outlineLevel="2">
      <c r="A23" s="86"/>
      <c r="B23" s="101" t="s">
        <v>130</v>
      </c>
      <c r="C23" s="186"/>
      <c r="D23" s="186"/>
      <c r="E23" s="186"/>
      <c r="F23" s="186"/>
      <c r="G23" s="198">
        <f>SUM(C23:F23)</f>
        <v>0</v>
      </c>
      <c r="H23" s="2310">
        <f>'[1]затраты КРС'!H23+'[2]затраты КРС'!H23</f>
        <v>125</v>
      </c>
      <c r="I23" s="175">
        <f>'[1]затраты КРС'!I23</f>
        <v>0</v>
      </c>
      <c r="J23" s="2310">
        <f>'[1]затраты КРС'!J23+'[2]затраты КРС'!J23</f>
        <v>100</v>
      </c>
      <c r="K23" s="204">
        <f>SUM(H23:J23)</f>
        <v>225</v>
      </c>
      <c r="L23" s="212">
        <f t="shared" ref="L23:L31" si="8">G23+K23</f>
        <v>225</v>
      </c>
    </row>
    <row r="24" spans="1:12" s="324" customFormat="1" ht="9" customHeight="1" outlineLevel="2">
      <c r="A24" s="195"/>
      <c r="B24" s="101" t="s">
        <v>77</v>
      </c>
      <c r="C24" s="323"/>
      <c r="D24" s="323"/>
      <c r="E24" s="323"/>
      <c r="F24" s="323"/>
      <c r="G24" s="198">
        <f>SUM(C24:F24)</f>
        <v>0</v>
      </c>
      <c r="H24" s="323"/>
      <c r="I24" s="323"/>
      <c r="J24" s="323"/>
      <c r="K24" s="204">
        <f>SUM(H24:J24)</f>
        <v>0</v>
      </c>
      <c r="L24" s="212">
        <f t="shared" si="8"/>
        <v>0</v>
      </c>
    </row>
    <row r="25" spans="1:12" ht="9" customHeight="1" outlineLevel="1">
      <c r="A25" s="91"/>
      <c r="B25" s="101" t="s">
        <v>78</v>
      </c>
      <c r="C25" s="187"/>
      <c r="D25" s="187"/>
      <c r="E25" s="187"/>
      <c r="F25" s="187"/>
      <c r="G25" s="198">
        <f>SUM(C25:F25)</f>
        <v>0</v>
      </c>
      <c r="H25" s="187"/>
      <c r="I25" s="187"/>
      <c r="J25" s="187"/>
      <c r="K25" s="204">
        <f>SUM(H25:J25)</f>
        <v>0</v>
      </c>
      <c r="L25" s="212">
        <f t="shared" si="8"/>
        <v>0</v>
      </c>
    </row>
    <row r="26" spans="1:12" s="87" customFormat="1">
      <c r="A26" s="86"/>
      <c r="B26" s="88" t="s">
        <v>79</v>
      </c>
      <c r="C26" s="183">
        <f t="shared" ref="C26:K26" si="9">SUM(C27:C31)</f>
        <v>0</v>
      </c>
      <c r="D26" s="183">
        <f t="shared" ref="D26:E26" si="10">SUM(D27:D31)</f>
        <v>0</v>
      </c>
      <c r="E26" s="183">
        <f t="shared" si="10"/>
        <v>0</v>
      </c>
      <c r="F26" s="183">
        <f t="shared" ref="F26" si="11">SUM(F27:F31)</f>
        <v>0</v>
      </c>
      <c r="G26" s="202">
        <f t="shared" si="9"/>
        <v>0</v>
      </c>
      <c r="H26" s="183">
        <f t="shared" ref="H26:I26" si="12">SUM(H27:H31)</f>
        <v>300</v>
      </c>
      <c r="I26" s="183">
        <f t="shared" si="12"/>
        <v>0</v>
      </c>
      <c r="J26" s="183">
        <f t="shared" si="9"/>
        <v>0</v>
      </c>
      <c r="K26" s="202">
        <f t="shared" si="9"/>
        <v>300</v>
      </c>
      <c r="L26" s="212">
        <f t="shared" si="8"/>
        <v>300</v>
      </c>
    </row>
    <row r="27" spans="1:12" ht="9">
      <c r="A27" s="91"/>
      <c r="B27" s="186" t="s">
        <v>524</v>
      </c>
      <c r="C27" s="175">
        <f>'[1]затраты КРС'!C27</f>
        <v>0</v>
      </c>
      <c r="D27" s="175">
        <f>'[1]затраты КРС'!D27</f>
        <v>0</v>
      </c>
      <c r="E27" s="175">
        <f>'[1]затраты КРС'!E27</f>
        <v>0</v>
      </c>
      <c r="F27" s="175">
        <f>'[1]затраты КРС'!F27</f>
        <v>0</v>
      </c>
      <c r="G27" s="198">
        <f>SUM(C27:F27)</f>
        <v>0</v>
      </c>
      <c r="H27" s="2310">
        <f>'[1]затраты КРС'!H27+'[2]затраты КРС'!H27</f>
        <v>300</v>
      </c>
      <c r="I27" s="175">
        <f>'[1]затраты КРС'!I27</f>
        <v>0</v>
      </c>
      <c r="J27" s="175">
        <f>'[1]затраты КРС'!J27</f>
        <v>0</v>
      </c>
      <c r="K27" s="204">
        <f t="shared" ref="K27:K31" si="13">SUM(H27:J27)</f>
        <v>300</v>
      </c>
      <c r="L27" s="212">
        <f t="shared" si="8"/>
        <v>300</v>
      </c>
    </row>
    <row r="28" spans="1:12" ht="9">
      <c r="A28" s="91"/>
      <c r="B28" s="187" t="s">
        <v>131</v>
      </c>
      <c r="C28" s="175">
        <f>'[1]затраты КРС'!C28</f>
        <v>0</v>
      </c>
      <c r="D28" s="175">
        <f>'[1]затраты КРС'!D28</f>
        <v>0</v>
      </c>
      <c r="E28" s="175">
        <f>'[1]затраты КРС'!E28</f>
        <v>0</v>
      </c>
      <c r="F28" s="175">
        <f>'[1]затраты КРС'!F28</f>
        <v>0</v>
      </c>
      <c r="G28" s="198">
        <f t="shared" si="4"/>
        <v>0</v>
      </c>
      <c r="H28" s="187"/>
      <c r="I28" s="187"/>
      <c r="J28" s="187"/>
      <c r="K28" s="204">
        <f t="shared" si="13"/>
        <v>0</v>
      </c>
      <c r="L28" s="212">
        <f t="shared" si="8"/>
        <v>0</v>
      </c>
    </row>
    <row r="29" spans="1:12" ht="9">
      <c r="A29" s="91"/>
      <c r="B29" s="187" t="s">
        <v>82</v>
      </c>
      <c r="C29" s="187"/>
      <c r="D29" s="187"/>
      <c r="E29" s="187"/>
      <c r="F29" s="187"/>
      <c r="G29" s="198">
        <f t="shared" si="4"/>
        <v>0</v>
      </c>
      <c r="H29" s="187"/>
      <c r="I29" s="187"/>
      <c r="J29" s="187"/>
      <c r="K29" s="204">
        <f t="shared" si="13"/>
        <v>0</v>
      </c>
      <c r="L29" s="212">
        <f t="shared" si="8"/>
        <v>0</v>
      </c>
    </row>
    <row r="30" spans="1:12" s="87" customFormat="1" ht="9">
      <c r="A30" s="86"/>
      <c r="B30" s="187" t="s">
        <v>83</v>
      </c>
      <c r="C30" s="187"/>
      <c r="D30" s="187"/>
      <c r="E30" s="187"/>
      <c r="F30" s="187"/>
      <c r="G30" s="198">
        <f t="shared" si="4"/>
        <v>0</v>
      </c>
      <c r="H30" s="175">
        <f>'[1]затраты КРС'!H30</f>
        <v>0</v>
      </c>
      <c r="I30" s="175">
        <f>'[1]затраты КРС'!I30</f>
        <v>0</v>
      </c>
      <c r="J30" s="175">
        <f>'[1]затраты КРС'!J30</f>
        <v>0</v>
      </c>
      <c r="K30" s="204">
        <f t="shared" si="13"/>
        <v>0</v>
      </c>
      <c r="L30" s="212">
        <f t="shared" si="8"/>
        <v>0</v>
      </c>
    </row>
    <row r="31" spans="1:12" s="87" customFormat="1" ht="9.75" thickBot="1">
      <c r="A31" s="86"/>
      <c r="B31" s="190" t="s">
        <v>88</v>
      </c>
      <c r="C31" s="175">
        <f>'[1]затраты КРС'!C31</f>
        <v>0</v>
      </c>
      <c r="D31" s="175">
        <f>'[1]затраты КРС'!D31</f>
        <v>0</v>
      </c>
      <c r="E31" s="175">
        <f>'[1]затраты КРС'!E31</f>
        <v>0</v>
      </c>
      <c r="F31" s="175">
        <f>'[1]затраты КРС'!F31</f>
        <v>0</v>
      </c>
      <c r="G31" s="198">
        <f t="shared" si="4"/>
        <v>0</v>
      </c>
      <c r="H31" s="175">
        <f>'[1]затраты КРС'!H31</f>
        <v>0</v>
      </c>
      <c r="I31" s="175">
        <f>'[1]затраты КРС'!I31</f>
        <v>0</v>
      </c>
      <c r="J31" s="175">
        <f>'[1]затраты КРС'!J31</f>
        <v>0</v>
      </c>
      <c r="K31" s="204">
        <f t="shared" si="13"/>
        <v>0</v>
      </c>
      <c r="L31" s="212">
        <f t="shared" si="8"/>
        <v>0</v>
      </c>
    </row>
    <row r="32" spans="1:12" s="87" customFormat="1" ht="9" thickBot="1">
      <c r="A32" s="103"/>
      <c r="B32" s="193" t="s">
        <v>18</v>
      </c>
      <c r="C32" s="194">
        <f>C8+C19+C20+C21+C26</f>
        <v>0</v>
      </c>
      <c r="D32" s="194">
        <f t="shared" ref="D32:L32" si="14">D8+D19+D20+D21+D26</f>
        <v>0</v>
      </c>
      <c r="E32" s="194">
        <f t="shared" si="14"/>
        <v>0</v>
      </c>
      <c r="F32" s="194">
        <f>F8+F19+F20+F21+F26</f>
        <v>0</v>
      </c>
      <c r="G32" s="206">
        <f t="shared" si="14"/>
        <v>0</v>
      </c>
      <c r="H32" s="194">
        <f>H8+H19+H20+H21+H26+H22</f>
        <v>12023.442138333332</v>
      </c>
      <c r="I32" s="194">
        <f t="shared" si="14"/>
        <v>0</v>
      </c>
      <c r="J32" s="194">
        <f t="shared" si="14"/>
        <v>7552.7831791008375</v>
      </c>
      <c r="K32" s="206">
        <f t="shared" si="14"/>
        <v>19451.225317434168</v>
      </c>
      <c r="L32" s="215">
        <f t="shared" si="14"/>
        <v>19451.225317434168</v>
      </c>
    </row>
    <row r="33" spans="1:12">
      <c r="A33" s="104"/>
      <c r="B33" s="192" t="s">
        <v>102</v>
      </c>
      <c r="C33" s="192">
        <f t="shared" ref="C33:K33" si="15">SUM(C34:C39)</f>
        <v>0</v>
      </c>
      <c r="D33" s="192">
        <f t="shared" si="15"/>
        <v>0</v>
      </c>
      <c r="E33" s="192">
        <f t="shared" si="15"/>
        <v>0</v>
      </c>
      <c r="F33" s="192">
        <f t="shared" si="15"/>
        <v>0</v>
      </c>
      <c r="G33" s="207">
        <f t="shared" si="15"/>
        <v>0</v>
      </c>
      <c r="H33" s="192">
        <f t="shared" si="15"/>
        <v>0</v>
      </c>
      <c r="I33" s="192">
        <f t="shared" si="15"/>
        <v>0</v>
      </c>
      <c r="J33" s="192">
        <f>SUM(J34:J39)</f>
        <v>0</v>
      </c>
      <c r="K33" s="207">
        <f t="shared" si="15"/>
        <v>0</v>
      </c>
      <c r="L33" s="212">
        <f t="shared" ref="L33:L43" si="16">G33+K33</f>
        <v>0</v>
      </c>
    </row>
    <row r="34" spans="1:12" hidden="1" outlineLevel="1">
      <c r="A34" s="105"/>
      <c r="B34" s="282" t="s">
        <v>422</v>
      </c>
      <c r="C34" s="187"/>
      <c r="D34" s="187"/>
      <c r="E34" s="187"/>
      <c r="F34" s="187"/>
      <c r="G34" s="205">
        <f t="shared" ref="G34:G43" si="17">SUM(C34:F34)</f>
        <v>0</v>
      </c>
      <c r="H34" s="187"/>
      <c r="I34" s="187"/>
      <c r="J34" s="187"/>
      <c r="K34" s="205">
        <f t="shared" ref="K34:K41" si="18">SUM(H34:J34)</f>
        <v>0</v>
      </c>
      <c r="L34" s="212">
        <f t="shared" si="16"/>
        <v>0</v>
      </c>
    </row>
    <row r="35" spans="1:12" hidden="1" outlineLevel="1">
      <c r="A35" s="105"/>
      <c r="B35" s="282" t="s">
        <v>461</v>
      </c>
      <c r="C35" s="187"/>
      <c r="D35" s="187"/>
      <c r="E35" s="187"/>
      <c r="F35" s="187"/>
      <c r="G35" s="205">
        <f t="shared" si="17"/>
        <v>0</v>
      </c>
      <c r="H35" s="187"/>
      <c r="I35" s="187"/>
      <c r="J35" s="187"/>
      <c r="K35" s="205">
        <f t="shared" si="18"/>
        <v>0</v>
      </c>
      <c r="L35" s="212">
        <f t="shared" si="16"/>
        <v>0</v>
      </c>
    </row>
    <row r="36" spans="1:12" s="87" customFormat="1" hidden="1" outlineLevel="1">
      <c r="A36" s="282"/>
      <c r="B36" s="282" t="s">
        <v>462</v>
      </c>
      <c r="C36" s="88"/>
      <c r="D36" s="88"/>
      <c r="E36" s="88"/>
      <c r="F36" s="88"/>
      <c r="G36" s="205">
        <f t="shared" si="17"/>
        <v>0</v>
      </c>
      <c r="H36" s="88"/>
      <c r="I36" s="88"/>
      <c r="J36" s="88"/>
      <c r="K36" s="205">
        <f t="shared" si="18"/>
        <v>0</v>
      </c>
      <c r="L36" s="212">
        <f t="shared" si="16"/>
        <v>0</v>
      </c>
    </row>
    <row r="37" spans="1:12" s="87" customFormat="1" hidden="1" outlineLevel="1">
      <c r="A37" s="282"/>
      <c r="B37" s="105" t="s">
        <v>133</v>
      </c>
      <c r="C37" s="88"/>
      <c r="D37" s="88"/>
      <c r="E37" s="88"/>
      <c r="F37" s="88"/>
      <c r="G37" s="205">
        <f t="shared" si="17"/>
        <v>0</v>
      </c>
      <c r="H37" s="88"/>
      <c r="I37" s="88"/>
      <c r="J37" s="88"/>
      <c r="K37" s="205">
        <f t="shared" si="18"/>
        <v>0</v>
      </c>
      <c r="L37" s="212">
        <f t="shared" si="16"/>
        <v>0</v>
      </c>
    </row>
    <row r="38" spans="1:12" s="87" customFormat="1" hidden="1" outlineLevel="1">
      <c r="A38" s="282"/>
      <c r="B38" s="105" t="s">
        <v>103</v>
      </c>
      <c r="C38" s="88"/>
      <c r="D38" s="88"/>
      <c r="E38" s="88"/>
      <c r="F38" s="88"/>
      <c r="G38" s="205">
        <f t="shared" si="17"/>
        <v>0</v>
      </c>
      <c r="H38" s="88"/>
      <c r="I38" s="88"/>
      <c r="J38" s="88"/>
      <c r="K38" s="205">
        <f t="shared" si="18"/>
        <v>0</v>
      </c>
      <c r="L38" s="212">
        <f t="shared" si="16"/>
        <v>0</v>
      </c>
    </row>
    <row r="39" spans="1:12" s="87" customFormat="1" collapsed="1">
      <c r="A39" s="282"/>
      <c r="B39" s="88" t="s">
        <v>484</v>
      </c>
      <c r="C39" s="88"/>
      <c r="D39" s="88"/>
      <c r="E39" s="88"/>
      <c r="F39" s="88"/>
      <c r="G39" s="205">
        <f t="shared" si="17"/>
        <v>0</v>
      </c>
      <c r="H39" s="88"/>
      <c r="I39" s="88"/>
      <c r="J39" s="88"/>
      <c r="K39" s="205">
        <f t="shared" si="18"/>
        <v>0</v>
      </c>
      <c r="L39" s="212">
        <f t="shared" si="16"/>
        <v>0</v>
      </c>
    </row>
    <row r="40" spans="1:12" s="87" customFormat="1">
      <c r="A40" s="100"/>
      <c r="B40" s="88" t="s">
        <v>89</v>
      </c>
      <c r="C40" s="88">
        <f>'вспом. план'!AC59</f>
        <v>62.910943162370543</v>
      </c>
      <c r="D40" s="88">
        <f>'вспом. план'!AC60</f>
        <v>2111.7290307997887</v>
      </c>
      <c r="E40" s="88">
        <f>'вспом. план'!AC61</f>
        <v>598.64976851130155</v>
      </c>
      <c r="F40" s="88">
        <f>'вспом. план'!AC62</f>
        <v>4082.0444502492642</v>
      </c>
      <c r="G40" s="205">
        <f t="shared" si="17"/>
        <v>6855.3341927227248</v>
      </c>
      <c r="H40" s="88">
        <f>'вспом. план'!AC80</f>
        <v>1423.419816166177</v>
      </c>
      <c r="I40" s="88"/>
      <c r="J40" s="88">
        <f>'вспом. план'!AC79</f>
        <v>429.79271483076809</v>
      </c>
      <c r="K40" s="205">
        <f t="shared" si="18"/>
        <v>1853.2125309969451</v>
      </c>
      <c r="L40" s="212">
        <f t="shared" si="16"/>
        <v>8708.5467237196699</v>
      </c>
    </row>
    <row r="41" spans="1:12" ht="9" thickBot="1">
      <c r="A41" s="102"/>
      <c r="B41" s="187" t="s">
        <v>107</v>
      </c>
      <c r="C41" s="88">
        <f>'вспом. план'!$AE$59</f>
        <v>57.761903003509872</v>
      </c>
      <c r="D41" s="88">
        <f>'вспом. план'!$AE$60</f>
        <v>2064.2792856876231</v>
      </c>
      <c r="E41" s="88">
        <f>'вспом. план'!$AE$61</f>
        <v>543.10092462845455</v>
      </c>
      <c r="F41" s="88">
        <f>'вспом. план'!$AE$62</f>
        <v>4024.6176686725094</v>
      </c>
      <c r="G41" s="205">
        <f t="shared" si="17"/>
        <v>6689.7597819920966</v>
      </c>
      <c r="H41" s="88">
        <f>'вспом. план'!AD80</f>
        <v>4518.5156113478197</v>
      </c>
      <c r="I41" s="88"/>
      <c r="J41" s="88">
        <f>'вспом. план'!AD79</f>
        <v>3252.0267967815153</v>
      </c>
      <c r="K41" s="205">
        <f t="shared" si="18"/>
        <v>7770.5424081293349</v>
      </c>
      <c r="L41" s="212">
        <f t="shared" si="16"/>
        <v>14460.302190121431</v>
      </c>
    </row>
    <row r="42" spans="1:12" s="87" customFormat="1">
      <c r="A42" s="107"/>
      <c r="B42" s="280" t="s">
        <v>108</v>
      </c>
      <c r="C42" s="280">
        <f>C32+C33+C40+C41</f>
        <v>120.67284616588042</v>
      </c>
      <c r="D42" s="280">
        <f t="shared" ref="D42:L42" si="19">D32+D33+D40+D41</f>
        <v>4176.0083164874122</v>
      </c>
      <c r="E42" s="280">
        <f t="shared" si="19"/>
        <v>1141.7506931397561</v>
      </c>
      <c r="F42" s="280">
        <f t="shared" si="19"/>
        <v>8106.6621189217731</v>
      </c>
      <c r="G42" s="280">
        <f t="shared" si="19"/>
        <v>13545.093974714822</v>
      </c>
      <c r="H42" s="280">
        <f t="shared" si="19"/>
        <v>17965.377565847328</v>
      </c>
      <c r="I42" s="280">
        <f t="shared" si="19"/>
        <v>0</v>
      </c>
      <c r="J42" s="280">
        <f t="shared" si="19"/>
        <v>11234.60269071312</v>
      </c>
      <c r="K42" s="280">
        <f t="shared" si="19"/>
        <v>29074.980256560448</v>
      </c>
      <c r="L42" s="280">
        <f t="shared" si="19"/>
        <v>42620.07423127527</v>
      </c>
    </row>
    <row r="43" spans="1:12" ht="9" thickBot="1">
      <c r="A43" s="105"/>
      <c r="B43" s="186" t="s">
        <v>110</v>
      </c>
      <c r="C43" s="88">
        <v>0</v>
      </c>
      <c r="D43" s="88">
        <v>0</v>
      </c>
      <c r="E43" s="88">
        <v>0</v>
      </c>
      <c r="F43" s="88">
        <v>0</v>
      </c>
      <c r="G43" s="205">
        <f t="shared" si="17"/>
        <v>0</v>
      </c>
      <c r="H43" s="88">
        <f>'[1]затраты КРС'!$H$43</f>
        <v>882.81803720793766</v>
      </c>
      <c r="I43" s="88">
        <v>0</v>
      </c>
      <c r="J43" s="88">
        <v>1427.3</v>
      </c>
      <c r="K43" s="205">
        <f>SUM(H43:J43)</f>
        <v>2310.1180372079375</v>
      </c>
      <c r="L43" s="212">
        <f t="shared" si="16"/>
        <v>2310.1180372079375</v>
      </c>
    </row>
    <row r="44" spans="1:12" s="87" customFormat="1" ht="9" thickBot="1">
      <c r="A44" s="177"/>
      <c r="B44" s="283" t="s">
        <v>112</v>
      </c>
      <c r="C44" s="283">
        <f>C42+C43</f>
        <v>120.67284616588042</v>
      </c>
      <c r="D44" s="283">
        <f t="shared" ref="D44:L44" si="20">D42+D43</f>
        <v>4176.0083164874122</v>
      </c>
      <c r="E44" s="283">
        <f t="shared" si="20"/>
        <v>1141.7506931397561</v>
      </c>
      <c r="F44" s="283">
        <f t="shared" si="20"/>
        <v>8106.6621189217731</v>
      </c>
      <c r="G44" s="283">
        <f t="shared" si="20"/>
        <v>13545.093974714822</v>
      </c>
      <c r="H44" s="283">
        <f t="shared" si="20"/>
        <v>18848.195603055265</v>
      </c>
      <c r="I44" s="283">
        <f t="shared" si="20"/>
        <v>0</v>
      </c>
      <c r="J44" s="283">
        <f t="shared" si="20"/>
        <v>12661.902690713119</v>
      </c>
      <c r="K44" s="283">
        <f t="shared" si="20"/>
        <v>31385.098293768384</v>
      </c>
      <c r="L44" s="283">
        <f t="shared" si="20"/>
        <v>44930.19226848321</v>
      </c>
    </row>
    <row r="45" spans="1:12" s="87" customFormat="1" ht="9" thickBot="1">
      <c r="A45" s="177"/>
      <c r="B45" s="284" t="s">
        <v>329</v>
      </c>
      <c r="C45" s="284"/>
      <c r="D45" s="284"/>
      <c r="E45" s="284"/>
      <c r="F45" s="284"/>
      <c r="G45" s="205">
        <f>SUM(C45:F45)</f>
        <v>0</v>
      </c>
      <c r="H45" s="284">
        <f>H44*0.1</f>
        <v>1884.8195603055265</v>
      </c>
      <c r="I45" s="284"/>
      <c r="J45" s="284">
        <v>150</v>
      </c>
      <c r="K45" s="205">
        <f>SUM(H45:J45)</f>
        <v>2034.8195603055265</v>
      </c>
      <c r="L45" s="205">
        <f>SUM(I45:K45)</f>
        <v>2184.8195603055265</v>
      </c>
    </row>
    <row r="46" spans="1:12" s="87" customFormat="1" ht="9" thickBot="1">
      <c r="A46" s="177"/>
      <c r="B46" s="283" t="s">
        <v>330</v>
      </c>
      <c r="C46" s="283">
        <f>C44-C45</f>
        <v>120.67284616588042</v>
      </c>
      <c r="D46" s="283">
        <f t="shared" ref="D46:L46" si="21">D44-D45</f>
        <v>4176.0083164874122</v>
      </c>
      <c r="E46" s="283">
        <f t="shared" si="21"/>
        <v>1141.7506931397561</v>
      </c>
      <c r="F46" s="283">
        <f t="shared" si="21"/>
        <v>8106.6621189217731</v>
      </c>
      <c r="G46" s="283">
        <f>G44-G45</f>
        <v>13545.093974714822</v>
      </c>
      <c r="H46" s="283">
        <f>H44-H45</f>
        <v>16963.37604274974</v>
      </c>
      <c r="I46" s="283">
        <f>I44-I45</f>
        <v>0</v>
      </c>
      <c r="J46" s="283">
        <f>J44-J45</f>
        <v>12511.902690713119</v>
      </c>
      <c r="K46" s="283">
        <f>K44-K45</f>
        <v>29350.278733462859</v>
      </c>
      <c r="L46" s="283">
        <f t="shared" si="21"/>
        <v>42745.372708177681</v>
      </c>
    </row>
    <row r="47" spans="1:12" s="87" customFormat="1" ht="9" thickBot="1">
      <c r="A47" s="103"/>
      <c r="B47" s="284" t="s">
        <v>109</v>
      </c>
      <c r="C47" s="188"/>
      <c r="D47" s="188"/>
      <c r="E47" s="188"/>
      <c r="F47" s="188" t="e">
        <f t="shared" ref="F47:L47" si="22">F46/F5</f>
        <v>#DIV/0!</v>
      </c>
      <c r="G47" s="188" t="e">
        <f t="shared" si="22"/>
        <v>#DIV/0!</v>
      </c>
      <c r="H47" s="188">
        <f>H46/H6</f>
        <v>25.033205254672119</v>
      </c>
      <c r="I47" s="188" t="e">
        <f t="shared" si="22"/>
        <v>#DIV/0!</v>
      </c>
      <c r="J47" s="188">
        <f t="shared" si="22"/>
        <v>286.34960214015774</v>
      </c>
      <c r="K47" s="188">
        <f t="shared" si="22"/>
        <v>671.71563316808442</v>
      </c>
      <c r="L47" s="188">
        <f t="shared" si="22"/>
        <v>978.27810612726296</v>
      </c>
    </row>
    <row r="48" spans="1:12" ht="9" thickBot="1">
      <c r="A48" s="105"/>
      <c r="B48" s="186" t="s">
        <v>357</v>
      </c>
      <c r="C48" s="281" t="e">
        <f t="shared" ref="C48:L48" si="23">C46/C4*1000</f>
        <v>#DIV/0!</v>
      </c>
      <c r="D48" s="281" t="e">
        <f t="shared" si="23"/>
        <v>#DIV/0!</v>
      </c>
      <c r="E48" s="281" t="e">
        <f t="shared" si="23"/>
        <v>#DIV/0!</v>
      </c>
      <c r="F48" s="281" t="e">
        <f t="shared" si="23"/>
        <v>#DIV/0!</v>
      </c>
      <c r="G48" s="281" t="e">
        <f t="shared" si="23"/>
        <v>#DIV/0!</v>
      </c>
      <c r="H48" s="281">
        <f t="shared" si="23"/>
        <v>431.78639081490434</v>
      </c>
      <c r="I48" s="281" t="e">
        <f t="shared" si="23"/>
        <v>#DIV/0!</v>
      </c>
      <c r="J48" s="281" t="e">
        <f t="shared" si="23"/>
        <v>#DIV/0!</v>
      </c>
      <c r="K48" s="281">
        <f t="shared" si="23"/>
        <v>747.08306246325981</v>
      </c>
      <c r="L48" s="281">
        <f t="shared" si="23"/>
        <v>1088.0422717263609</v>
      </c>
    </row>
    <row r="49" spans="1:12" ht="9" thickBot="1">
      <c r="A49" s="178"/>
      <c r="B49" s="88" t="s">
        <v>331</v>
      </c>
      <c r="C49" s="88"/>
      <c r="D49" s="88"/>
      <c r="E49" s="88"/>
      <c r="F49" s="88"/>
      <c r="G49" s="88"/>
      <c r="H49" s="88"/>
      <c r="I49" s="187"/>
      <c r="J49" s="187"/>
      <c r="K49" s="187"/>
      <c r="L49" s="217"/>
    </row>
    <row r="50" spans="1:12" s="87" customFormat="1">
      <c r="A50" s="109"/>
      <c r="B50" s="189" t="s">
        <v>136</v>
      </c>
      <c r="C50" s="189"/>
      <c r="D50" s="189"/>
      <c r="E50" s="189"/>
      <c r="F50" s="189"/>
      <c r="G50" s="218"/>
      <c r="H50" s="189"/>
      <c r="I50" s="189"/>
      <c r="J50" s="189"/>
      <c r="K50" s="218"/>
      <c r="L50" s="216"/>
    </row>
    <row r="53" spans="1:12">
      <c r="B53" s="85" t="s">
        <v>359</v>
      </c>
      <c r="C53" s="85">
        <f>C32-C9-C12-C15+C40</f>
        <v>62.910943162370543</v>
      </c>
      <c r="D53" s="85">
        <f>D32-D9-D12-D15+D40</f>
        <v>2111.7290307997887</v>
      </c>
      <c r="E53" s="85">
        <f>E32-E9-E12-E15+E40</f>
        <v>598.64976851130155</v>
      </c>
      <c r="F53" s="85">
        <f>F32-F9-F12-F15+F40</f>
        <v>4082.0444502492642</v>
      </c>
      <c r="G53" s="205">
        <f>SUM(C53:F53)</f>
        <v>6855.3341927227248</v>
      </c>
      <c r="H53" s="85">
        <f>H32-H9-H12-H15+H40</f>
        <v>6730.0224194995089</v>
      </c>
      <c r="I53" s="85">
        <f>I32-I9-I12-I15+I40</f>
        <v>0</v>
      </c>
      <c r="J53" s="85">
        <f>J32-J9-J12-J15+J40</f>
        <v>4955.3860239793685</v>
      </c>
      <c r="K53" s="205">
        <f>SUM(H53:J53)</f>
        <v>11685.408443478878</v>
      </c>
      <c r="L53" s="85">
        <f>G53+K53</f>
        <v>18540.742636201605</v>
      </c>
    </row>
  </sheetData>
  <mergeCells count="1">
    <mergeCell ref="C7:L7"/>
  </mergeCells>
  <pageMargins left="0.70866141732283472" right="0.70866141732283472" top="0.74803149606299213" bottom="1.7322834645669292" header="0.31496062992125984" footer="0.31496062992125984"/>
  <pageSetup paperSize="9" orientation="landscape" r:id="rId1"/>
  <headerFooter>
    <oddHeader>&amp;C&amp;F Шувалово-1</oddHeader>
  </headerFooter>
  <ignoredErrors>
    <ignoredError sqref="I47" evalError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DK52"/>
  <sheetViews>
    <sheetView topLeftCell="A19" workbookViewId="0">
      <selection activeCell="H27" sqref="H27:J30"/>
    </sheetView>
  </sheetViews>
  <sheetFormatPr defaultColWidth="5.85546875" defaultRowHeight="12.75" outlineLevelCol="1"/>
  <cols>
    <col min="1" max="1" width="0.85546875" style="85" customWidth="1"/>
    <col min="2" max="2" width="33.85546875" style="85" customWidth="1"/>
    <col min="3" max="3" width="8.28515625" style="85" customWidth="1"/>
    <col min="4" max="6" width="9.42578125" style="85" customWidth="1"/>
    <col min="7" max="7" width="9.42578125" style="1302" customWidth="1"/>
    <col min="8" max="10" width="9.42578125" style="85" customWidth="1"/>
    <col min="11" max="11" width="9.42578125" style="1302" customWidth="1"/>
    <col min="12" max="12" width="9.42578125" style="1301" customWidth="1" outlineLevel="1"/>
    <col min="13" max="13" width="5.28515625" style="85" customWidth="1"/>
    <col min="14" max="115" width="5.28515625" customWidth="1"/>
    <col min="116" max="16384" width="5.85546875" style="85"/>
  </cols>
  <sheetData>
    <row r="1" spans="1:12" s="83" customFormat="1" ht="9" thickBot="1">
      <c r="B1" s="81" t="s">
        <v>665</v>
      </c>
      <c r="C1" s="82"/>
      <c r="D1" s="82"/>
      <c r="E1" s="82"/>
      <c r="F1" s="82"/>
      <c r="G1" s="1343"/>
      <c r="H1" s="82"/>
      <c r="I1" s="82"/>
      <c r="J1" s="82"/>
      <c r="K1" s="1343"/>
      <c r="L1" s="1342"/>
    </row>
    <row r="2" spans="1:12" s="85" customFormat="1" ht="27">
      <c r="A2" s="84"/>
      <c r="B2" s="179"/>
      <c r="C2" s="179" t="s">
        <v>349</v>
      </c>
      <c r="D2" s="179" t="s">
        <v>350</v>
      </c>
      <c r="E2" s="179" t="s">
        <v>351</v>
      </c>
      <c r="F2" s="179" t="s">
        <v>353</v>
      </c>
      <c r="G2" s="1319" t="s">
        <v>360</v>
      </c>
      <c r="H2" s="179" t="s">
        <v>352</v>
      </c>
      <c r="I2" s="179" t="s">
        <v>354</v>
      </c>
      <c r="J2" s="179" t="s">
        <v>294</v>
      </c>
      <c r="K2" s="1319" t="s">
        <v>626</v>
      </c>
      <c r="L2" s="1341" t="s">
        <v>355</v>
      </c>
    </row>
    <row r="3" spans="1:12" s="85" customFormat="1" ht="9">
      <c r="A3" s="195"/>
      <c r="B3" s="179" t="s">
        <v>4</v>
      </c>
      <c r="C3" s="196">
        <f>'обор. ш-1'!AA7</f>
        <v>0</v>
      </c>
      <c r="D3" s="196">
        <f>'обор. ш-1'!AA10</f>
        <v>0</v>
      </c>
      <c r="E3" s="196">
        <f>'обор. ш-1'!AA13</f>
        <v>0</v>
      </c>
      <c r="F3" s="196">
        <f>'обор. ш-1'!AA19</f>
        <v>481395.76252203394</v>
      </c>
      <c r="G3" s="1340">
        <f>SUM(C3:F3)</f>
        <v>481395.76252203394</v>
      </c>
      <c r="H3" s="196">
        <f>'обор. ш-1'!AA16</f>
        <v>24405.714285714294</v>
      </c>
      <c r="I3" s="196">
        <f>'обор. ш-1'!AA22</f>
        <v>1113326.5555555555</v>
      </c>
      <c r="J3" s="196">
        <f>'обор. ш-1'!AA25</f>
        <v>1545498.199279712</v>
      </c>
      <c r="K3" s="1340">
        <f>SUM(H3:J3)</f>
        <v>2683230.4691209821</v>
      </c>
      <c r="L3" s="1339">
        <f>G3+K3</f>
        <v>3164626.231643016</v>
      </c>
    </row>
    <row r="4" spans="1:12" s="87" customFormat="1" ht="9">
      <c r="A4" s="86"/>
      <c r="B4" s="175" t="s">
        <v>356</v>
      </c>
      <c r="C4" s="175"/>
      <c r="D4" s="175"/>
      <c r="E4" s="175"/>
      <c r="F4" s="181">
        <f>'обор. ш-1'!L19-'обор. ш-1'!T19</f>
        <v>110.47260000000001</v>
      </c>
      <c r="G4" s="1338">
        <f>SUM(C4:F4)</f>
        <v>110.47260000000001</v>
      </c>
      <c r="H4" s="181">
        <f>'обор. ш-1'!L16-'обор. ш-1'!T16</f>
        <v>16.310000000000002</v>
      </c>
      <c r="I4" s="180">
        <f>'обор. ш-1'!L22-'обор. ш-1'!T22</f>
        <v>493.95844999999997</v>
      </c>
      <c r="J4" s="180">
        <f>'обор. ш-1'!L25-'обор. ш-1'!T25</f>
        <v>1278.9162000000001</v>
      </c>
      <c r="K4" s="1337">
        <f>SUM(H4:J4)</f>
        <v>1789.1846500000001</v>
      </c>
      <c r="L4" s="1336">
        <f>G4+K4</f>
        <v>1899.6572500000002</v>
      </c>
    </row>
    <row r="5" spans="1:12" s="87" customFormat="1" ht="8.25">
      <c r="A5" s="86"/>
      <c r="B5" s="175"/>
      <c r="C5" s="175"/>
      <c r="D5" s="175"/>
      <c r="E5" s="175"/>
      <c r="F5" s="175"/>
      <c r="G5" s="1335"/>
      <c r="H5" s="175"/>
      <c r="I5" s="181"/>
      <c r="J5" s="175"/>
      <c r="K5" s="1335"/>
      <c r="L5" s="1313"/>
    </row>
    <row r="6" spans="1:12" s="87" customFormat="1" ht="9" thickBot="1">
      <c r="A6" s="90"/>
      <c r="B6" s="175" t="s">
        <v>58</v>
      </c>
      <c r="C6" s="2536" t="s">
        <v>122</v>
      </c>
      <c r="D6" s="2537"/>
      <c r="E6" s="2537"/>
      <c r="F6" s="2537"/>
      <c r="G6" s="2537"/>
      <c r="H6" s="2537"/>
      <c r="I6" s="2537"/>
      <c r="J6" s="2537"/>
      <c r="K6" s="2537"/>
      <c r="L6" s="2538"/>
    </row>
    <row r="7" spans="1:12" s="87" customFormat="1" ht="8.25">
      <c r="A7" s="86"/>
      <c r="B7" s="182" t="s">
        <v>60</v>
      </c>
      <c r="C7" s="183">
        <f t="shared" ref="C7:L7" si="0">SUM(C8,C11,C14:C16,C17:C17)</f>
        <v>254.21319694676146</v>
      </c>
      <c r="D7" s="183">
        <f t="shared" si="0"/>
        <v>10661.808641819533</v>
      </c>
      <c r="E7" s="183">
        <f t="shared" si="0"/>
        <v>991.18205410017345</v>
      </c>
      <c r="F7" s="183">
        <f t="shared" si="0"/>
        <v>2674.8946277123464</v>
      </c>
      <c r="G7" s="1321">
        <f t="shared" si="0"/>
        <v>14582.098520578813</v>
      </c>
      <c r="H7" s="183">
        <f t="shared" si="0"/>
        <v>1885.5091135829268</v>
      </c>
      <c r="I7" s="183">
        <f t="shared" si="0"/>
        <v>26147.98673594703</v>
      </c>
      <c r="J7" s="183">
        <f t="shared" si="0"/>
        <v>69232.733109771696</v>
      </c>
      <c r="K7" s="1321">
        <f t="shared" si="0"/>
        <v>97266.228959301661</v>
      </c>
      <c r="L7" s="1334">
        <f t="shared" si="0"/>
        <v>111848.32747988046</v>
      </c>
    </row>
    <row r="8" spans="1:12" s="85" customFormat="1" ht="9">
      <c r="A8" s="91"/>
      <c r="B8" s="176" t="s">
        <v>503</v>
      </c>
      <c r="C8" s="2243">
        <f>'обор. ш-1'!E75</f>
        <v>220.44804749999997</v>
      </c>
      <c r="D8" s="2243">
        <f>'обор. ш-1'!G75</f>
        <v>9722.6630180680004</v>
      </c>
      <c r="E8" s="2243">
        <f>'обор. ш-1'!I75</f>
        <v>668.482035</v>
      </c>
      <c r="F8" s="2243">
        <f>'обор. ш-1'!M75</f>
        <v>763.23222478800005</v>
      </c>
      <c r="G8" s="1333">
        <f>SUM(C8:F8)</f>
        <v>11374.825325356</v>
      </c>
      <c r="H8" s="2243">
        <f>'обор. ш-1'!K75</f>
        <v>1690.2590640865603</v>
      </c>
      <c r="I8" s="2243">
        <f>'обор. ш-1'!O75</f>
        <v>24495.552657773998</v>
      </c>
      <c r="J8" s="2243">
        <f>'обор. ш-1'!Q75</f>
        <v>67236.149982663905</v>
      </c>
      <c r="K8" s="1332">
        <f>SUM(H8:J8)</f>
        <v>93421.961704524467</v>
      </c>
      <c r="L8" s="1320">
        <f>G8+K8</f>
        <v>104796.78702988046</v>
      </c>
    </row>
    <row r="9" spans="1:12" s="94" customFormat="1" ht="9">
      <c r="A9" s="93"/>
      <c r="B9" s="176" t="s">
        <v>123</v>
      </c>
      <c r="C9" s="2243">
        <f>'обор. ш-1'!D75</f>
        <v>10.948499999999999</v>
      </c>
      <c r="D9" s="2243">
        <f>'обор. ш-1'!F75</f>
        <v>624.52390000000003</v>
      </c>
      <c r="E9" s="2243">
        <f>'обор. ш-1'!H75</f>
        <v>48.164999999999999</v>
      </c>
      <c r="F9" s="2243">
        <f>'обор. ш-1'!L75</f>
        <v>18.156633000000003</v>
      </c>
      <c r="G9" s="1333">
        <f>SUM(C9:F9)</f>
        <v>701.79403300000001</v>
      </c>
      <c r="H9" s="2243">
        <f>'обор. ш-1'!J75</f>
        <v>121.23887600000002</v>
      </c>
      <c r="I9" s="2243">
        <f>'обор. ш-1'!N75</f>
        <v>958.44044999999983</v>
      </c>
      <c r="J9" s="2243">
        <f>'обор. ш-1'!P75</f>
        <v>3812.0269410000001</v>
      </c>
      <c r="K9" s="1332">
        <f>SUM(H9:J9)</f>
        <v>4891.7062669999996</v>
      </c>
      <c r="L9" s="1320">
        <f>G9+K9</f>
        <v>5593.5002999999997</v>
      </c>
    </row>
    <row r="10" spans="1:12" s="96" customFormat="1" ht="9">
      <c r="A10" s="95"/>
      <c r="B10" s="184" t="s">
        <v>63</v>
      </c>
      <c r="C10" s="1254">
        <f t="shared" ref="C10:L10" si="1">C8/C9*1000</f>
        <v>20134.999999999996</v>
      </c>
      <c r="D10" s="1254">
        <f t="shared" si="1"/>
        <v>15568.12</v>
      </c>
      <c r="E10" s="1254">
        <f t="shared" si="1"/>
        <v>13879</v>
      </c>
      <c r="F10" s="1254">
        <f t="shared" si="1"/>
        <v>42035.999999999993</v>
      </c>
      <c r="G10" s="1331">
        <f t="shared" si="1"/>
        <v>16208.210372965652</v>
      </c>
      <c r="H10" s="1254">
        <f t="shared" si="1"/>
        <v>13941.560000000001</v>
      </c>
      <c r="I10" s="1254">
        <f t="shared" si="1"/>
        <v>25557.720000000005</v>
      </c>
      <c r="J10" s="1254">
        <f t="shared" si="1"/>
        <v>17637.900000000001</v>
      </c>
      <c r="K10" s="1331">
        <f t="shared" si="1"/>
        <v>19098.031771604834</v>
      </c>
      <c r="L10" s="1330">
        <f t="shared" si="1"/>
        <v>18735.457479081651</v>
      </c>
    </row>
    <row r="11" spans="1:12" s="85" customFormat="1" ht="9">
      <c r="A11" s="91"/>
      <c r="B11" s="176" t="s">
        <v>124</v>
      </c>
      <c r="C11" s="176"/>
      <c r="D11" s="176"/>
      <c r="E11" s="176"/>
      <c r="F11" s="176">
        <v>0</v>
      </c>
      <c r="G11" s="1319">
        <f>SUM(C11:F11)</f>
        <v>0</v>
      </c>
      <c r="H11" s="176"/>
      <c r="I11" s="176">
        <v>0</v>
      </c>
      <c r="J11" s="176"/>
      <c r="K11" s="1318">
        <f>SUM(H11:J11)</f>
        <v>0</v>
      </c>
      <c r="L11" s="1313">
        <f>G11+K11</f>
        <v>0</v>
      </c>
    </row>
    <row r="12" spans="1:12" s="94" customFormat="1" ht="9">
      <c r="A12" s="93"/>
      <c r="B12" s="176" t="s">
        <v>123</v>
      </c>
      <c r="C12" s="176"/>
      <c r="D12" s="176"/>
      <c r="E12" s="176"/>
      <c r="F12" s="176">
        <v>0</v>
      </c>
      <c r="G12" s="1319">
        <f>SUM(C12:F12)</f>
        <v>0</v>
      </c>
      <c r="H12" s="176"/>
      <c r="I12" s="176">
        <v>0</v>
      </c>
      <c r="J12" s="176"/>
      <c r="K12" s="1318">
        <f>SUM(H12:J12)</f>
        <v>0</v>
      </c>
      <c r="L12" s="1313">
        <f>G12+K12</f>
        <v>0</v>
      </c>
    </row>
    <row r="13" spans="1:12" s="96" customFormat="1" ht="9">
      <c r="A13" s="95"/>
      <c r="B13" s="184" t="s">
        <v>63</v>
      </c>
      <c r="C13" s="184"/>
      <c r="D13" s="184"/>
      <c r="E13" s="184"/>
      <c r="F13" s="184" t="e">
        <f>F11/F12*1000</f>
        <v>#DIV/0!</v>
      </c>
      <c r="G13" s="1329" t="e">
        <f>G11/G12*1000</f>
        <v>#DIV/0!</v>
      </c>
      <c r="H13" s="184"/>
      <c r="I13" s="184" t="e">
        <f>I11/I12*1000</f>
        <v>#DIV/0!</v>
      </c>
      <c r="J13" s="184"/>
      <c r="K13" s="1329" t="e">
        <f>K11/K12*1000</f>
        <v>#DIV/0!</v>
      </c>
      <c r="L13" s="1328" t="e">
        <f>L11/L12*1000</f>
        <v>#DIV/0!</v>
      </c>
    </row>
    <row r="14" spans="1:12" s="98" customFormat="1" ht="9">
      <c r="A14" s="97"/>
      <c r="B14" s="176" t="s">
        <v>125</v>
      </c>
      <c r="C14" s="176">
        <v>0</v>
      </c>
      <c r="D14" s="176">
        <v>0</v>
      </c>
      <c r="E14" s="176">
        <v>0</v>
      </c>
      <c r="F14" s="176">
        <v>0</v>
      </c>
      <c r="G14" s="1319">
        <f t="shared" ref="G14:G20" si="2">SUM(C14:F14)</f>
        <v>0</v>
      </c>
      <c r="H14" s="176">
        <v>0</v>
      </c>
      <c r="I14" s="176">
        <v>0</v>
      </c>
      <c r="J14" s="176">
        <v>0</v>
      </c>
      <c r="K14" s="1318">
        <f t="shared" ref="K14:K20" si="3">SUM(H14:J14)</f>
        <v>0</v>
      </c>
      <c r="L14" s="1313">
        <f t="shared" ref="L14:L20" si="4">G14+K14</f>
        <v>0</v>
      </c>
    </row>
    <row r="15" spans="1:12" s="94" customFormat="1" ht="9">
      <c r="A15" s="93"/>
      <c r="B15" s="176" t="s">
        <v>126</v>
      </c>
      <c r="C15" s="176"/>
      <c r="D15" s="176"/>
      <c r="E15" s="176"/>
      <c r="F15" s="176"/>
      <c r="G15" s="1319">
        <f t="shared" si="2"/>
        <v>0</v>
      </c>
      <c r="H15" s="176"/>
      <c r="I15" s="176"/>
      <c r="J15" s="176"/>
      <c r="K15" s="1318">
        <f t="shared" si="3"/>
        <v>0</v>
      </c>
      <c r="L15" s="1313">
        <f t="shared" si="4"/>
        <v>0</v>
      </c>
    </row>
    <row r="16" spans="1:12" s="98" customFormat="1" ht="9">
      <c r="A16" s="97"/>
      <c r="B16" s="176" t="s">
        <v>127</v>
      </c>
      <c r="C16" s="2243">
        <f>'[1]затраты св-во Шув-1'!C16+'[2]затраты св-во Шув-1'!C16</f>
        <v>32.163214789999998</v>
      </c>
      <c r="D16" s="2243">
        <f>'[1]затраты св-во Шув-1'!D16+'[2]затраты св-во Шув-1'!D16</f>
        <v>834.12681380499998</v>
      </c>
      <c r="E16" s="2243">
        <f>'[1]затраты св-во Шув-1'!E16+'[2]затраты св-во Шув-1'!E16</f>
        <v>314.68064853500005</v>
      </c>
      <c r="F16" s="2243">
        <f>'[1]затраты св-во Шув-1'!F16+'[2]затраты св-во Шув-1'!F16</f>
        <v>1673.309108335</v>
      </c>
      <c r="G16" s="1319">
        <f t="shared" si="2"/>
        <v>2854.2797854649998</v>
      </c>
      <c r="H16" s="2243">
        <f>'[1]затраты св-во Шув-1'!H16+'[2]затраты св-во Шув-1'!H16</f>
        <v>171.69650160000003</v>
      </c>
      <c r="I16" s="2243">
        <f>'[1]затраты св-во Шув-1'!I16+'[2]затраты св-во Шув-1'!I16</f>
        <v>1208.2714437</v>
      </c>
      <c r="J16" s="2243">
        <f>'[1]затраты св-во Шув-1'!J16+'[2]затраты св-во Шув-1'!J16</f>
        <v>1334.0127192350001</v>
      </c>
      <c r="K16" s="1318">
        <f t="shared" si="3"/>
        <v>2713.980664535</v>
      </c>
      <c r="L16" s="1320">
        <f t="shared" si="4"/>
        <v>5568.2604499999998</v>
      </c>
    </row>
    <row r="17" spans="1:12" s="85" customFormat="1" ht="9">
      <c r="A17" s="91"/>
      <c r="B17" s="185" t="s">
        <v>71</v>
      </c>
      <c r="C17" s="2243">
        <f>'[1]затраты св-во Шув-1'!C17+'[2]затраты св-во Шув-1'!C17</f>
        <v>1.6019346567615127</v>
      </c>
      <c r="D17" s="2243">
        <f>'[1]затраты св-во Шув-1'!D17+'[2]затраты св-во Шув-1'!D17</f>
        <v>105.01880994653274</v>
      </c>
      <c r="E17" s="2243">
        <f>'[1]затраты св-во Шув-1'!E17+'[2]затраты св-во Шув-1'!E17</f>
        <v>8.0193705651734106</v>
      </c>
      <c r="F17" s="2243">
        <f>'[1]затраты св-во Шув-1'!F17+'[2]затраты св-во Шув-1'!F17</f>
        <v>238.35329458934601</v>
      </c>
      <c r="G17" s="1319">
        <f t="shared" si="2"/>
        <v>352.99340975781365</v>
      </c>
      <c r="H17" s="2243">
        <f>'[1]затраты св-во Шув-1'!H17+'[2]затраты св-во Шув-1'!H17</f>
        <v>23.553547896366396</v>
      </c>
      <c r="I17" s="2243">
        <f>'[1]затраты св-во Шув-1'!I17+'[2]затраты св-во Шув-1'!I17</f>
        <v>444.16263447303174</v>
      </c>
      <c r="J17" s="2243">
        <f>'[1]затраты св-во Шув-1'!J17+'[2]затраты св-во Шув-1'!J17</f>
        <v>662.57040787278811</v>
      </c>
      <c r="K17" s="1318">
        <f t="shared" si="3"/>
        <v>1130.2865902421863</v>
      </c>
      <c r="L17" s="1320">
        <f t="shared" si="4"/>
        <v>1483.28</v>
      </c>
    </row>
    <row r="18" spans="1:12" s="714" customFormat="1" ht="9">
      <c r="A18" s="712"/>
      <c r="B18" s="713" t="s">
        <v>549</v>
      </c>
      <c r="C18" s="2243">
        <f>'[1]затраты св-во Шув-1'!C18+'[2]затраты св-во Шув-1'!C18</f>
        <v>0</v>
      </c>
      <c r="D18" s="2243">
        <f>'[1]затраты св-во Шув-1'!D18+'[2]затраты св-во Шув-1'!D18</f>
        <v>0</v>
      </c>
      <c r="E18" s="2243">
        <f>'[1]затраты св-во Шув-1'!E18+'[2]затраты св-во Шув-1'!E18</f>
        <v>0</v>
      </c>
      <c r="F18" s="2243">
        <f>'[1]затраты св-во Шув-1'!F18+'[2]затраты св-во Шув-1'!F18</f>
        <v>0</v>
      </c>
      <c r="G18" s="1324">
        <f t="shared" si="2"/>
        <v>0</v>
      </c>
      <c r="H18" s="2243">
        <f>'[1]затраты св-во Шув-1'!H18+'[2]затраты св-во Шув-1'!H18</f>
        <v>0</v>
      </c>
      <c r="I18" s="2243">
        <f>'[1]затраты св-во Шув-1'!I18+'[2]затраты св-во Шув-1'!I18</f>
        <v>0</v>
      </c>
      <c r="J18" s="2243">
        <f>'[1]затраты св-во Шув-1'!J18+'[2]затраты св-во Шув-1'!J18</f>
        <v>0</v>
      </c>
      <c r="K18" s="1323">
        <f t="shared" si="3"/>
        <v>0</v>
      </c>
      <c r="L18" s="1320">
        <f t="shared" si="4"/>
        <v>0</v>
      </c>
    </row>
    <row r="19" spans="1:12" s="87" customFormat="1" ht="9">
      <c r="A19" s="86"/>
      <c r="B19" s="1327" t="s">
        <v>73</v>
      </c>
      <c r="C19" s="2243">
        <f>'[1]затраты св-во Шув-1'!C19+'[2]затраты св-во Шув-1'!C19</f>
        <v>5.94</v>
      </c>
      <c r="D19" s="2243">
        <f>'[1]затраты св-во Шув-1'!D19+'[2]затраты св-во Шув-1'!D19</f>
        <v>402.29999999999995</v>
      </c>
      <c r="E19" s="2243">
        <f>'[1]затраты св-во Шув-1'!E19+'[2]затраты св-во Шув-1'!E19</f>
        <v>16.200000000000003</v>
      </c>
      <c r="F19" s="2243">
        <f>'[1]затраты св-во Шув-1'!F19+'[2]затраты св-во Шув-1'!F19</f>
        <v>828.36</v>
      </c>
      <c r="G19" s="1324">
        <f t="shared" si="2"/>
        <v>1252.8</v>
      </c>
      <c r="H19" s="2243">
        <f>'[1]затраты св-во Шув-1'!H19+'[2]затраты св-во Шув-1'!H19</f>
        <v>67.5</v>
      </c>
      <c r="I19" s="2243">
        <f>'[1]затраты св-во Шув-1'!I19+'[2]затраты св-во Шув-1'!I19</f>
        <v>1604.88</v>
      </c>
      <c r="J19" s="2243">
        <f>'[1]затраты св-во Шув-1'!J19+'[2]затраты св-во Шув-1'!J19</f>
        <v>2474.8199999999997</v>
      </c>
      <c r="K19" s="1323">
        <f t="shared" si="3"/>
        <v>4147.2</v>
      </c>
      <c r="L19" s="1320">
        <f t="shared" si="4"/>
        <v>5400</v>
      </c>
    </row>
    <row r="20" spans="1:12" s="87" customFormat="1" ht="9.75">
      <c r="A20" s="86"/>
      <c r="B20" s="1326" t="s">
        <v>74</v>
      </c>
      <c r="C20" s="1325">
        <f>C19*'вспом. план'!$M$1</f>
        <v>1.85328</v>
      </c>
      <c r="D20" s="1325">
        <f>D19*'вспом. план'!$M$1</f>
        <v>125.51759999999999</v>
      </c>
      <c r="E20" s="1325">
        <f>E19*'вспом. план'!$M$1</f>
        <v>5.0544000000000011</v>
      </c>
      <c r="F20" s="1325">
        <f>F19*'вспом. план'!$M$1</f>
        <v>258.44832000000002</v>
      </c>
      <c r="G20" s="1324">
        <f t="shared" si="2"/>
        <v>390.87360000000001</v>
      </c>
      <c r="H20" s="1325">
        <f>H19*'вспом. план'!$M$1</f>
        <v>21.06</v>
      </c>
      <c r="I20" s="1325">
        <f>I19*'вспом. план'!$M$1</f>
        <v>500.72256000000004</v>
      </c>
      <c r="J20" s="1325">
        <f>J19*'вспом. план'!$M$1</f>
        <v>772.14383999999995</v>
      </c>
      <c r="K20" s="1323">
        <f t="shared" si="3"/>
        <v>1293.9263999999998</v>
      </c>
      <c r="L20" s="1320">
        <f t="shared" si="4"/>
        <v>1684.7999999999997</v>
      </c>
    </row>
    <row r="21" spans="1:12" s="87" customFormat="1" ht="8.25">
      <c r="A21" s="86"/>
      <c r="B21" s="88" t="s">
        <v>75</v>
      </c>
      <c r="C21" s="176">
        <f t="shared" ref="C21:L21" si="5">C22+C23+C24</f>
        <v>0.21599895593030485</v>
      </c>
      <c r="D21" s="176">
        <f t="shared" si="5"/>
        <v>14.160348679485026</v>
      </c>
      <c r="E21" s="176">
        <f t="shared" si="5"/>
        <v>1.0813023252755261</v>
      </c>
      <c r="F21" s="176">
        <f t="shared" si="5"/>
        <v>32.138678413967156</v>
      </c>
      <c r="G21" s="1318">
        <f t="shared" si="5"/>
        <v>47.596328374658015</v>
      </c>
      <c r="H21" s="176">
        <f t="shared" si="5"/>
        <v>3.1758734556343242</v>
      </c>
      <c r="I21" s="176">
        <f t="shared" si="5"/>
        <v>59.889250104232744</v>
      </c>
      <c r="J21" s="176">
        <f t="shared" si="5"/>
        <v>89.338548065474924</v>
      </c>
      <c r="K21" s="1318">
        <f t="shared" si="5"/>
        <v>152.40367162534199</v>
      </c>
      <c r="L21" s="1322">
        <f t="shared" si="5"/>
        <v>200</v>
      </c>
    </row>
    <row r="22" spans="1:12" s="87" customFormat="1" ht="9">
      <c r="A22" s="86"/>
      <c r="B22" s="101" t="s">
        <v>130</v>
      </c>
      <c r="C22" s="2243">
        <f>'[1]затраты св-во Шув-1'!C22+'[2]затраты св-во Шув-1'!C22</f>
        <v>0.21599895593030485</v>
      </c>
      <c r="D22" s="2243">
        <f>'[1]затраты св-во Шув-1'!D22+'[2]затраты св-во Шув-1'!D22</f>
        <v>14.160348679485026</v>
      </c>
      <c r="E22" s="2243">
        <f>'[1]затраты св-во Шув-1'!E22+'[2]затраты св-во Шув-1'!E22</f>
        <v>1.0813023252755261</v>
      </c>
      <c r="F22" s="2243">
        <f>'[1]затраты св-во Шув-1'!F22+'[2]затраты св-во Шув-1'!F22</f>
        <v>32.138678413967156</v>
      </c>
      <c r="G22" s="1319">
        <f>SUM(C22:F22)</f>
        <v>47.596328374658015</v>
      </c>
      <c r="H22" s="2243">
        <f>'[1]затраты св-во Шув-1'!H22+'[2]затраты св-во Шув-1'!H22</f>
        <v>3.1758734556343242</v>
      </c>
      <c r="I22" s="2243">
        <f>'[1]затраты св-во Шув-1'!I22+'[2]затраты св-во Шув-1'!I22</f>
        <v>59.889250104232744</v>
      </c>
      <c r="J22" s="2243">
        <f>'[1]затраты св-во Шув-1'!J22+'[2]затраты св-во Шув-1'!J22</f>
        <v>89.338548065474924</v>
      </c>
      <c r="K22" s="1318">
        <f>SUM(H22:J22)</f>
        <v>152.40367162534199</v>
      </c>
      <c r="L22" s="1313">
        <f t="shared" ref="L22:L30" si="6">G22+K22</f>
        <v>200</v>
      </c>
    </row>
    <row r="23" spans="1:12" s="324" customFormat="1" ht="9">
      <c r="A23" s="195"/>
      <c r="B23" s="101" t="s">
        <v>77</v>
      </c>
      <c r="C23" s="2243"/>
      <c r="D23" s="2243"/>
      <c r="E23" s="2243"/>
      <c r="F23" s="2243"/>
      <c r="G23" s="1319">
        <f>SUM(C23:F23)</f>
        <v>0</v>
      </c>
      <c r="H23" s="2243"/>
      <c r="I23" s="2243"/>
      <c r="J23" s="2243"/>
      <c r="K23" s="1318">
        <f>SUM(H23:J23)</f>
        <v>0</v>
      </c>
      <c r="L23" s="1313">
        <f t="shared" si="6"/>
        <v>0</v>
      </c>
    </row>
    <row r="24" spans="1:12" s="85" customFormat="1" ht="16.5">
      <c r="A24" s="91"/>
      <c r="B24" s="101" t="s">
        <v>78</v>
      </c>
      <c r="C24" s="2243"/>
      <c r="D24" s="2243"/>
      <c r="E24" s="2243"/>
      <c r="F24" s="2243"/>
      <c r="G24" s="1319">
        <f>SUM(C24:F24)</f>
        <v>0</v>
      </c>
      <c r="H24" s="2243"/>
      <c r="I24" s="2243"/>
      <c r="J24" s="2243"/>
      <c r="K24" s="1318">
        <f>SUM(H24:J24)</f>
        <v>0</v>
      </c>
      <c r="L24" s="1313">
        <f t="shared" si="6"/>
        <v>0</v>
      </c>
    </row>
    <row r="25" spans="1:12" s="87" customFormat="1" ht="8.25">
      <c r="A25" s="86"/>
      <c r="B25" s="88" t="s">
        <v>79</v>
      </c>
      <c r="C25" s="183">
        <f t="shared" ref="C25:K25" si="7">SUM(C26:C30)</f>
        <v>1.3005136187553745</v>
      </c>
      <c r="D25" s="183">
        <f t="shared" si="7"/>
        <v>90.460809792124707</v>
      </c>
      <c r="E25" s="183">
        <f t="shared" si="7"/>
        <v>9.6730721688671668</v>
      </c>
      <c r="F25" s="183">
        <f t="shared" si="7"/>
        <v>223.4518230465678</v>
      </c>
      <c r="G25" s="1321">
        <f t="shared" si="7"/>
        <v>324.88621862631504</v>
      </c>
      <c r="H25" s="183">
        <f t="shared" si="7"/>
        <v>1413.1111455564717</v>
      </c>
      <c r="I25" s="183">
        <f t="shared" si="7"/>
        <v>388.41641023082957</v>
      </c>
      <c r="J25" s="183">
        <f t="shared" si="7"/>
        <v>603.58622558638285</v>
      </c>
      <c r="K25" s="1321">
        <f t="shared" si="7"/>
        <v>2405.1137813736841</v>
      </c>
      <c r="L25" s="1313">
        <f t="shared" si="6"/>
        <v>2729.9999999999991</v>
      </c>
    </row>
    <row r="26" spans="1:12" s="85" customFormat="1" ht="9">
      <c r="A26" s="91"/>
      <c r="B26" s="186" t="s">
        <v>524</v>
      </c>
      <c r="C26" s="2243">
        <f>'[1]затраты св-во Шув-1'!C26+'[2]затраты св-во Шув-1'!C26</f>
        <v>1.3005136187553745</v>
      </c>
      <c r="D26" s="2243">
        <f>'[1]затраты св-во Шув-1'!D26+'[2]затраты св-во Шув-1'!D26</f>
        <v>90.460809792124707</v>
      </c>
      <c r="E26" s="2243">
        <f>'[1]затраты св-во Шув-1'!E26+'[2]затраты св-во Шув-1'!E26</f>
        <v>9.6730721688671668</v>
      </c>
      <c r="F26" s="2243">
        <f>'[1]затраты св-во Шув-1'!F26+'[2]затраты св-во Шув-1'!F26</f>
        <v>223.4518230465678</v>
      </c>
      <c r="G26" s="1319">
        <f>SUM(C26:F26)</f>
        <v>324.88621862631504</v>
      </c>
      <c r="H26" s="2243">
        <f>'[1]затраты св-во Шув-1'!H26+'[2]затраты св-во Шув-1'!H26</f>
        <v>1413.1111455564717</v>
      </c>
      <c r="I26" s="2243">
        <f>'[1]затраты св-во Шув-1'!I26+'[2]затраты св-во Шув-1'!I26</f>
        <v>388.41641023082957</v>
      </c>
      <c r="J26" s="2243">
        <f>'[1]затраты св-во Шув-1'!J26+'[2]затраты св-во Шув-1'!J26</f>
        <v>603.58622558638285</v>
      </c>
      <c r="K26" s="1318">
        <f>SUM(H26:J26)</f>
        <v>2405.1137813736841</v>
      </c>
      <c r="L26" s="1320">
        <f t="shared" si="6"/>
        <v>2729.9999999999991</v>
      </c>
    </row>
    <row r="27" spans="1:12" s="85" customFormat="1" ht="9">
      <c r="A27" s="91"/>
      <c r="B27" s="187" t="s">
        <v>131</v>
      </c>
      <c r="C27" s="1253"/>
      <c r="D27" s="1253"/>
      <c r="E27" s="1253"/>
      <c r="F27" s="1253"/>
      <c r="G27" s="1319">
        <f>SUM(C27:F27)</f>
        <v>0</v>
      </c>
      <c r="H27" s="2243"/>
      <c r="I27" s="2243"/>
      <c r="J27" s="2243"/>
      <c r="K27" s="1318">
        <f>SUM(H27:J27)</f>
        <v>0</v>
      </c>
      <c r="L27" s="1313">
        <f t="shared" si="6"/>
        <v>0</v>
      </c>
    </row>
    <row r="28" spans="1:12" s="85" customFormat="1" ht="9">
      <c r="A28" s="91"/>
      <c r="B28" s="187" t="s">
        <v>82</v>
      </c>
      <c r="C28" s="1253"/>
      <c r="D28" s="1253"/>
      <c r="E28" s="1253"/>
      <c r="F28" s="1253"/>
      <c r="G28" s="1319">
        <f>SUM(C28:F28)</f>
        <v>0</v>
      </c>
      <c r="H28" s="2243"/>
      <c r="I28" s="2243"/>
      <c r="J28" s="2243"/>
      <c r="K28" s="1318">
        <f>SUM(H28:J28)</f>
        <v>0</v>
      </c>
      <c r="L28" s="1313">
        <f t="shared" si="6"/>
        <v>0</v>
      </c>
    </row>
    <row r="29" spans="1:12" s="87" customFormat="1" ht="9">
      <c r="A29" s="86"/>
      <c r="B29" s="187" t="s">
        <v>83</v>
      </c>
      <c r="C29" s="1253"/>
      <c r="D29" s="1253"/>
      <c r="E29" s="1253"/>
      <c r="F29" s="1253"/>
      <c r="G29" s="1319">
        <f>SUM(C29:F29)</f>
        <v>0</v>
      </c>
      <c r="H29" s="2243"/>
      <c r="I29" s="2243"/>
      <c r="J29" s="2243"/>
      <c r="K29" s="1318">
        <f>SUM(H29:J29)</f>
        <v>0</v>
      </c>
      <c r="L29" s="1313">
        <f t="shared" si="6"/>
        <v>0</v>
      </c>
    </row>
    <row r="30" spans="1:12" s="87" customFormat="1" ht="9.75" thickBot="1">
      <c r="A30" s="86"/>
      <c r="B30" s="190" t="s">
        <v>88</v>
      </c>
      <c r="C30" s="1253"/>
      <c r="D30" s="1253"/>
      <c r="E30" s="1253"/>
      <c r="F30" s="1253"/>
      <c r="G30" s="1319">
        <f>SUM(C30:F30)</f>
        <v>0</v>
      </c>
      <c r="H30" s="2243"/>
      <c r="I30" s="2243"/>
      <c r="J30" s="2243"/>
      <c r="K30" s="1318">
        <f>SUM(H30:J30)</f>
        <v>0</v>
      </c>
      <c r="L30" s="1313">
        <f t="shared" si="6"/>
        <v>0</v>
      </c>
    </row>
    <row r="31" spans="1:12" s="87" customFormat="1" ht="9" thickBot="1">
      <c r="A31" s="103"/>
      <c r="B31" s="193" t="s">
        <v>18</v>
      </c>
      <c r="C31" s="194">
        <f t="shared" ref="C31:L31" si="8">C7+C18+C19+C20+C25</f>
        <v>263.3069905655168</v>
      </c>
      <c r="D31" s="194">
        <f t="shared" si="8"/>
        <v>11280.087051611656</v>
      </c>
      <c r="E31" s="194">
        <f t="shared" si="8"/>
        <v>1022.1095262690407</v>
      </c>
      <c r="F31" s="194">
        <f t="shared" si="8"/>
        <v>3985.1547707589143</v>
      </c>
      <c r="G31" s="1317">
        <f t="shared" si="8"/>
        <v>16550.658339205129</v>
      </c>
      <c r="H31" s="194">
        <f t="shared" si="8"/>
        <v>3387.1802591393985</v>
      </c>
      <c r="I31" s="194">
        <f t="shared" si="8"/>
        <v>28642.005706177857</v>
      </c>
      <c r="J31" s="194">
        <f t="shared" si="8"/>
        <v>73083.283175358069</v>
      </c>
      <c r="K31" s="1317">
        <f t="shared" si="8"/>
        <v>105112.46914067534</v>
      </c>
      <c r="L31" s="1316">
        <f t="shared" si="8"/>
        <v>121663.12747988047</v>
      </c>
    </row>
    <row r="32" spans="1:12" s="85" customFormat="1" ht="8.25">
      <c r="A32" s="104"/>
      <c r="B32" s="192" t="s">
        <v>102</v>
      </c>
      <c r="C32" s="192">
        <f t="shared" ref="C32:K32" si="9">SUM(C33:C38)</f>
        <v>0</v>
      </c>
      <c r="D32" s="192">
        <f t="shared" si="9"/>
        <v>0</v>
      </c>
      <c r="E32" s="192">
        <f t="shared" si="9"/>
        <v>0</v>
      </c>
      <c r="F32" s="192">
        <f t="shared" si="9"/>
        <v>0</v>
      </c>
      <c r="G32" s="1315">
        <f t="shared" si="9"/>
        <v>0</v>
      </c>
      <c r="H32" s="192">
        <f t="shared" si="9"/>
        <v>0</v>
      </c>
      <c r="I32" s="192">
        <f t="shared" si="9"/>
        <v>0</v>
      </c>
      <c r="J32" s="192">
        <f t="shared" si="9"/>
        <v>0</v>
      </c>
      <c r="K32" s="1315">
        <f t="shared" si="9"/>
        <v>0</v>
      </c>
      <c r="L32" s="1313">
        <f t="shared" ref="L32:L39" si="10">G32+K32</f>
        <v>0</v>
      </c>
    </row>
    <row r="33" spans="1:12" s="85" customFormat="1" ht="8.25">
      <c r="A33" s="105"/>
      <c r="B33" s="282" t="s">
        <v>422</v>
      </c>
      <c r="C33" s="187"/>
      <c r="D33" s="187"/>
      <c r="E33" s="187"/>
      <c r="F33" s="187"/>
      <c r="G33" s="1303">
        <f t="shared" ref="G33:G40" si="11">SUM(C33:F33)</f>
        <v>0</v>
      </c>
      <c r="H33" s="187"/>
      <c r="I33" s="187"/>
      <c r="J33" s="187"/>
      <c r="K33" s="1303">
        <f t="shared" ref="K33:K39" si="12">SUM(H33:J33)</f>
        <v>0</v>
      </c>
      <c r="L33" s="1313">
        <f t="shared" si="10"/>
        <v>0</v>
      </c>
    </row>
    <row r="34" spans="1:12" s="85" customFormat="1" ht="8.25">
      <c r="A34" s="105"/>
      <c r="B34" s="282" t="s">
        <v>461</v>
      </c>
      <c r="C34" s="187"/>
      <c r="D34" s="187"/>
      <c r="E34" s="187"/>
      <c r="F34" s="187"/>
      <c r="G34" s="1303">
        <f t="shared" si="11"/>
        <v>0</v>
      </c>
      <c r="H34" s="187"/>
      <c r="I34" s="187"/>
      <c r="J34" s="187"/>
      <c r="K34" s="1303">
        <f t="shared" si="12"/>
        <v>0</v>
      </c>
      <c r="L34" s="1313">
        <f t="shared" si="10"/>
        <v>0</v>
      </c>
    </row>
    <row r="35" spans="1:12" s="87" customFormat="1" ht="8.25">
      <c r="A35" s="282"/>
      <c r="B35" s="282" t="s">
        <v>462</v>
      </c>
      <c r="C35" s="88"/>
      <c r="D35" s="88"/>
      <c r="E35" s="88"/>
      <c r="F35" s="88"/>
      <c r="G35" s="1303">
        <f t="shared" si="11"/>
        <v>0</v>
      </c>
      <c r="H35" s="88"/>
      <c r="I35" s="88"/>
      <c r="J35" s="88"/>
      <c r="K35" s="1303">
        <f t="shared" si="12"/>
        <v>0</v>
      </c>
      <c r="L35" s="1313">
        <f t="shared" si="10"/>
        <v>0</v>
      </c>
    </row>
    <row r="36" spans="1:12" s="87" customFormat="1" ht="8.25">
      <c r="A36" s="282"/>
      <c r="B36" s="105" t="s">
        <v>133</v>
      </c>
      <c r="C36" s="88"/>
      <c r="D36" s="88"/>
      <c r="E36" s="88"/>
      <c r="F36" s="88"/>
      <c r="G36" s="1303">
        <f t="shared" si="11"/>
        <v>0</v>
      </c>
      <c r="H36" s="88"/>
      <c r="I36" s="88"/>
      <c r="J36" s="88"/>
      <c r="K36" s="1303">
        <f t="shared" si="12"/>
        <v>0</v>
      </c>
      <c r="L36" s="1313">
        <f t="shared" si="10"/>
        <v>0</v>
      </c>
    </row>
    <row r="37" spans="1:12" s="87" customFormat="1" ht="8.25">
      <c r="A37" s="282"/>
      <c r="B37" s="105" t="s">
        <v>103</v>
      </c>
      <c r="C37" s="88"/>
      <c r="D37" s="88"/>
      <c r="E37" s="88"/>
      <c r="F37" s="88"/>
      <c r="G37" s="1303">
        <f t="shared" si="11"/>
        <v>0</v>
      </c>
      <c r="H37" s="88"/>
      <c r="I37" s="88"/>
      <c r="J37" s="88"/>
      <c r="K37" s="1303">
        <f t="shared" si="12"/>
        <v>0</v>
      </c>
      <c r="L37" s="1313">
        <f t="shared" si="10"/>
        <v>0</v>
      </c>
    </row>
    <row r="38" spans="1:12" s="87" customFormat="1" ht="8.25">
      <c r="A38" s="282"/>
      <c r="B38" s="88" t="s">
        <v>484</v>
      </c>
      <c r="C38" s="88"/>
      <c r="D38" s="88"/>
      <c r="E38" s="88"/>
      <c r="F38" s="88"/>
      <c r="G38" s="1303">
        <f t="shared" si="11"/>
        <v>0</v>
      </c>
      <c r="H38" s="88"/>
      <c r="I38" s="88"/>
      <c r="J38" s="88">
        <v>0</v>
      </c>
      <c r="K38" s="1303">
        <f t="shared" si="12"/>
        <v>0</v>
      </c>
      <c r="L38" s="1313">
        <f t="shared" si="10"/>
        <v>0</v>
      </c>
    </row>
    <row r="39" spans="1:12" s="87" customFormat="1" ht="8.25">
      <c r="A39" s="100"/>
      <c r="B39" s="88" t="s">
        <v>89</v>
      </c>
      <c r="C39" s="88">
        <f>'[1]затраты вспом.'!AC59</f>
        <v>38.612692578006346</v>
      </c>
      <c r="D39" s="88">
        <f>'[1]затраты вспом.'!AC60</f>
        <v>1572.9071109252266</v>
      </c>
      <c r="E39" s="88">
        <f>'[1]затраты вспом.'!AC61</f>
        <v>373.13153761287595</v>
      </c>
      <c r="F39" s="88">
        <f>'[1]затраты вспом.'!AC62</f>
        <v>2799.9007562747088</v>
      </c>
      <c r="G39" s="1303">
        <f t="shared" si="11"/>
        <v>4784.5520973908178</v>
      </c>
      <c r="H39" s="88">
        <f>'[1]затраты вспом.'!AC64</f>
        <v>480.20873767109214</v>
      </c>
      <c r="I39" s="88">
        <f>'[1]затраты вспом.'!AC65</f>
        <v>5329.6939676743377</v>
      </c>
      <c r="J39" s="88">
        <f>'[1]затраты вспом.'!AC66</f>
        <v>6967.8181161637231</v>
      </c>
      <c r="K39" s="1303">
        <f t="shared" si="12"/>
        <v>12777.720821509152</v>
      </c>
      <c r="L39" s="1313">
        <f t="shared" si="10"/>
        <v>17562.272918899969</v>
      </c>
    </row>
    <row r="40" spans="1:12" s="85" customFormat="1" ht="9" thickBot="1">
      <c r="A40" s="102"/>
      <c r="B40" s="187" t="s">
        <v>107</v>
      </c>
      <c r="C40" s="88">
        <f>$L$40/$L$52*C52</f>
        <v>42.376251319392964</v>
      </c>
      <c r="D40" s="88">
        <f>$L$40/$L$52*D52</f>
        <v>1628.194871051197</v>
      </c>
      <c r="E40" s="88">
        <f>$L$40/$L$52*E52</f>
        <v>378.0128263447524</v>
      </c>
      <c r="F40" s="88">
        <f>$L$40/$L$52*F52</f>
        <v>3132.1612195621092</v>
      </c>
      <c r="G40" s="1303">
        <f t="shared" si="11"/>
        <v>5180.7451682774517</v>
      </c>
      <c r="H40" s="88">
        <f>$L$40/$L$52*H52</f>
        <v>1132.4015340474723</v>
      </c>
      <c r="I40" s="88">
        <f>$L$40/$L$52*I52</f>
        <v>4928.8759740859441</v>
      </c>
      <c r="J40" s="88">
        <f>$L$40/$L$52*J52</f>
        <v>6665.5050315430472</v>
      </c>
      <c r="K40" s="1305">
        <f>L40/L52*K52</f>
        <v>12726.782539676462</v>
      </c>
      <c r="L40" s="1313">
        <f>'произв. план'!C68</f>
        <v>17907.527707953912</v>
      </c>
    </row>
    <row r="41" spans="1:12" s="87" customFormat="1" ht="8.25">
      <c r="A41" s="107"/>
      <c r="B41" s="280" t="s">
        <v>108</v>
      </c>
      <c r="C41" s="280">
        <f t="shared" ref="C41:L41" si="13">C31+C32+C39+C40</f>
        <v>344.29593446291608</v>
      </c>
      <c r="D41" s="280">
        <f t="shared" si="13"/>
        <v>14481.18903358808</v>
      </c>
      <c r="E41" s="280">
        <f t="shared" si="13"/>
        <v>1773.2538902266688</v>
      </c>
      <c r="F41" s="280">
        <f t="shared" si="13"/>
        <v>9917.2167465957318</v>
      </c>
      <c r="G41" s="1312">
        <f t="shared" si="13"/>
        <v>26515.955604873398</v>
      </c>
      <c r="H41" s="280">
        <f t="shared" si="13"/>
        <v>4999.7905308579629</v>
      </c>
      <c r="I41" s="280">
        <f t="shared" si="13"/>
        <v>38900.575647938138</v>
      </c>
      <c r="J41" s="280">
        <f t="shared" si="13"/>
        <v>86716.606323064829</v>
      </c>
      <c r="K41" s="1312">
        <f t="shared" si="13"/>
        <v>130616.97250186096</v>
      </c>
      <c r="L41" s="1311">
        <f t="shared" si="13"/>
        <v>157132.92810673435</v>
      </c>
    </row>
    <row r="42" spans="1:12" s="85" customFormat="1" ht="9" thickBot="1">
      <c r="A42" s="105"/>
      <c r="B42" s="186" t="s">
        <v>110</v>
      </c>
      <c r="C42" s="186">
        <f>$L$42/$L$52*C52</f>
        <v>13.850943484182061</v>
      </c>
      <c r="D42" s="186">
        <f>$L$42/$L$52*D52</f>
        <v>532.18570397340864</v>
      </c>
      <c r="E42" s="186">
        <f>$L$42/$L$52*E52</f>
        <v>123.55586279999665</v>
      </c>
      <c r="F42" s="186">
        <f>$L$42/$L$52*F52</f>
        <v>1023.7665363204902</v>
      </c>
      <c r="G42" s="1303">
        <f>SUM(C42:F42)</f>
        <v>1693.3590465780776</v>
      </c>
      <c r="H42" s="186">
        <f>$L$42/$L$52*H52</f>
        <v>370.1325426658172</v>
      </c>
      <c r="I42" s="186">
        <f>$L$42/$L$52*I52</f>
        <v>1611.0340209910096</v>
      </c>
      <c r="J42" s="186">
        <f>$L$42/$L$52*J52</f>
        <v>2178.6621187793266</v>
      </c>
      <c r="K42" s="1314">
        <f>L42/L52*K52</f>
        <v>4159.828682436153</v>
      </c>
      <c r="L42" s="1313">
        <f>[1]произ.затраты!N62</f>
        <v>5853.1877290142302</v>
      </c>
    </row>
    <row r="43" spans="1:12" s="87" customFormat="1" ht="9" thickBot="1">
      <c r="A43" s="177"/>
      <c r="B43" s="283" t="s">
        <v>112</v>
      </c>
      <c r="C43" s="283">
        <f t="shared" ref="C43:L43" si="14">C41+C42</f>
        <v>358.14687794709812</v>
      </c>
      <c r="D43" s="283">
        <f t="shared" si="14"/>
        <v>15013.374737561488</v>
      </c>
      <c r="E43" s="283">
        <f t="shared" si="14"/>
        <v>1896.8097530266655</v>
      </c>
      <c r="F43" s="283">
        <f t="shared" si="14"/>
        <v>10940.983282916222</v>
      </c>
      <c r="G43" s="1312">
        <f t="shared" si="14"/>
        <v>28209.314651451474</v>
      </c>
      <c r="H43" s="283">
        <f t="shared" si="14"/>
        <v>5369.9230735237797</v>
      </c>
      <c r="I43" s="283">
        <f t="shared" si="14"/>
        <v>40511.609668929144</v>
      </c>
      <c r="J43" s="283">
        <f t="shared" si="14"/>
        <v>88895.268441844149</v>
      </c>
      <c r="K43" s="1312">
        <f t="shared" si="14"/>
        <v>134776.8011842971</v>
      </c>
      <c r="L43" s="1311">
        <f t="shared" si="14"/>
        <v>162986.11583574858</v>
      </c>
    </row>
    <row r="44" spans="1:12" s="87" customFormat="1" ht="9" thickBot="1">
      <c r="A44" s="177"/>
      <c r="B44" s="284" t="s">
        <v>329</v>
      </c>
      <c r="C44" s="284"/>
      <c r="D44" s="284"/>
      <c r="E44" s="284"/>
      <c r="F44" s="284"/>
      <c r="G44" s="1303">
        <f>SUM(C44:F44)</f>
        <v>0</v>
      </c>
      <c r="H44" s="284"/>
      <c r="I44" s="284"/>
      <c r="J44" s="284"/>
      <c r="K44" s="1303">
        <f>SUM(H44:J44)</f>
        <v>0</v>
      </c>
      <c r="L44" s="1306">
        <f>SUM(I44:K44)</f>
        <v>0</v>
      </c>
    </row>
    <row r="45" spans="1:12" s="87" customFormat="1" ht="9" thickBot="1">
      <c r="A45" s="177"/>
      <c r="B45" s="283" t="s">
        <v>330</v>
      </c>
      <c r="C45" s="283">
        <f t="shared" ref="C45:L45" si="15">C43-C44</f>
        <v>358.14687794709812</v>
      </c>
      <c r="D45" s="283">
        <f t="shared" si="15"/>
        <v>15013.374737561488</v>
      </c>
      <c r="E45" s="283">
        <f t="shared" si="15"/>
        <v>1896.8097530266655</v>
      </c>
      <c r="F45" s="283">
        <f t="shared" si="15"/>
        <v>10940.983282916222</v>
      </c>
      <c r="G45" s="1312">
        <f t="shared" si="15"/>
        <v>28209.314651451474</v>
      </c>
      <c r="H45" s="283">
        <f t="shared" si="15"/>
        <v>5369.9230735237797</v>
      </c>
      <c r="I45" s="283">
        <f t="shared" si="15"/>
        <v>40511.609668929144</v>
      </c>
      <c r="J45" s="283">
        <f t="shared" si="15"/>
        <v>88895.268441844149</v>
      </c>
      <c r="K45" s="1312">
        <f t="shared" si="15"/>
        <v>134776.8011842971</v>
      </c>
      <c r="L45" s="1311">
        <f t="shared" si="15"/>
        <v>162986.11583574858</v>
      </c>
    </row>
    <row r="46" spans="1:12" s="87" customFormat="1" ht="9" thickBot="1">
      <c r="A46" s="103"/>
      <c r="B46" s="284" t="s">
        <v>109</v>
      </c>
      <c r="C46" s="188"/>
      <c r="D46" s="188"/>
      <c r="E46" s="188"/>
      <c r="F46" s="188">
        <f t="shared" ref="F46:L46" si="16">F45/F4</f>
        <v>99.037981209061982</v>
      </c>
      <c r="G46" s="188">
        <f t="shared" si="16"/>
        <v>255.35123326011581</v>
      </c>
      <c r="H46" s="188">
        <f t="shared" si="16"/>
        <v>329.2411449125554</v>
      </c>
      <c r="I46" s="188">
        <f t="shared" si="16"/>
        <v>82.014205180474491</v>
      </c>
      <c r="J46" s="188">
        <f t="shared" si="16"/>
        <v>69.508282436209768</v>
      </c>
      <c r="K46" s="1310">
        <f t="shared" si="16"/>
        <v>75.328614732021705</v>
      </c>
      <c r="L46" s="1309">
        <f t="shared" si="16"/>
        <v>85.797643672693354</v>
      </c>
    </row>
    <row r="47" spans="1:12" s="85" customFormat="1" ht="9" thickBot="1">
      <c r="A47" s="105"/>
      <c r="B47" s="186" t="s">
        <v>357</v>
      </c>
      <c r="C47" s="281" t="e">
        <f>C45/C3*1000</f>
        <v>#DIV/0!</v>
      </c>
      <c r="D47" s="281" t="e">
        <f>D45/D3*1000</f>
        <v>#DIV/0!</v>
      </c>
      <c r="E47" s="281" t="e">
        <f>E45/E3*1000</f>
        <v>#DIV/0!</v>
      </c>
      <c r="F47" s="281">
        <f>F45/F3*1000</f>
        <v>22.727626902231911</v>
      </c>
      <c r="G47" s="1308"/>
      <c r="H47" s="281">
        <f>H45/H3*1000</f>
        <v>220.02728585030698</v>
      </c>
      <c r="I47" s="281">
        <f>I45/I3*1000</f>
        <v>36.387894878438111</v>
      </c>
      <c r="J47" s="281">
        <f>J45/J3*1000</f>
        <v>57.518843103974028</v>
      </c>
      <c r="K47" s="1308">
        <f>K45/K3*1000</f>
        <v>50.229304838078093</v>
      </c>
      <c r="L47" s="1307">
        <f>L45/L3*1000</f>
        <v>51.502485255937849</v>
      </c>
    </row>
    <row r="48" spans="1:12" s="85" customFormat="1" ht="9" thickBot="1">
      <c r="A48" s="178"/>
      <c r="B48" s="88" t="s">
        <v>331</v>
      </c>
      <c r="C48" s="88"/>
      <c r="D48" s="88"/>
      <c r="E48" s="88"/>
      <c r="F48" s="88"/>
      <c r="G48" s="1305"/>
      <c r="H48" s="88"/>
      <c r="I48" s="187"/>
      <c r="J48" s="187"/>
      <c r="K48" s="1303"/>
      <c r="L48" s="1306"/>
    </row>
    <row r="49" spans="1:12" s="87" customFormat="1" ht="8.25">
      <c r="A49" s="109"/>
      <c r="B49" s="189" t="s">
        <v>136</v>
      </c>
      <c r="C49" s="189"/>
      <c r="D49" s="189"/>
      <c r="E49" s="189"/>
      <c r="F49" s="189"/>
      <c r="G49" s="1305"/>
      <c r="H49" s="189"/>
      <c r="I49" s="189"/>
      <c r="J49" s="189"/>
      <c r="K49" s="1305"/>
      <c r="L49" s="1304"/>
    </row>
    <row r="52" spans="1:12" s="85" customFormat="1" ht="8.25">
      <c r="B52" s="85" t="s">
        <v>359</v>
      </c>
      <c r="C52" s="85">
        <f>C31-C8-C11-C14+C39</f>
        <v>81.471635643523172</v>
      </c>
      <c r="D52" s="85">
        <f>D31-D8-D11-D14+D39</f>
        <v>3130.3311444688816</v>
      </c>
      <c r="E52" s="85">
        <f>E31-E8-E11-E14+E39</f>
        <v>726.75902888191661</v>
      </c>
      <c r="F52" s="85">
        <f>F31-F8-F11-F14+F39</f>
        <v>6021.8233022456225</v>
      </c>
      <c r="G52" s="1303">
        <f>SUM(C52:F52)</f>
        <v>9960.3851112399443</v>
      </c>
      <c r="H52" s="85">
        <f>H31-H8-H11-H14+H39</f>
        <v>2177.1299327239303</v>
      </c>
      <c r="I52" s="85">
        <f>I31-I8-I11-I14+I39</f>
        <v>9476.1470160781973</v>
      </c>
      <c r="J52" s="85">
        <f>J31-J8-J11-J14+J39</f>
        <v>12814.951308857886</v>
      </c>
      <c r="K52" s="1303">
        <f>SUM(H52:J52)</f>
        <v>24468.228257660012</v>
      </c>
      <c r="L52" s="1301">
        <f>G52+K52</f>
        <v>34428.613368899954</v>
      </c>
    </row>
  </sheetData>
  <mergeCells count="1">
    <mergeCell ref="C6:L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M197"/>
  <sheetViews>
    <sheetView topLeftCell="A25" zoomScale="120" zoomScaleNormal="120" workbookViewId="0">
      <selection activeCell="E53" sqref="E53"/>
    </sheetView>
  </sheetViews>
  <sheetFormatPr defaultColWidth="5.85546875" defaultRowHeight="8.25" outlineLevelRow="2" outlineLevelCol="1"/>
  <cols>
    <col min="1" max="1" width="0.85546875" style="85" customWidth="1"/>
    <col min="2" max="2" width="33.85546875" style="85" customWidth="1"/>
    <col min="3" max="11" width="10.140625" style="85" customWidth="1"/>
    <col min="12" max="12" width="2.7109375" style="85" customWidth="1" outlineLevel="1"/>
    <col min="13" max="13" width="11.42578125" style="85" customWidth="1"/>
    <col min="14" max="114" width="5.28515625" style="85" customWidth="1"/>
    <col min="115" max="16384" width="5.85546875" style="85"/>
  </cols>
  <sheetData>
    <row r="1" spans="1:13" s="83" customFormat="1" ht="15" customHeight="1" thickBot="1">
      <c r="A1" s="81" t="s">
        <v>666</v>
      </c>
      <c r="B1" s="82"/>
      <c r="C1" s="82"/>
      <c r="D1" s="82"/>
      <c r="E1" s="82"/>
      <c r="F1" s="82"/>
      <c r="G1" s="82"/>
      <c r="H1" s="82"/>
      <c r="I1" s="82"/>
      <c r="J1" s="82"/>
      <c r="M1" s="82"/>
    </row>
    <row r="2" spans="1:13" ht="40.5" customHeight="1">
      <c r="A2" s="84"/>
      <c r="B2" s="179"/>
      <c r="C2" s="179" t="s">
        <v>349</v>
      </c>
      <c r="D2" s="179" t="s">
        <v>350</v>
      </c>
      <c r="E2" s="179" t="s">
        <v>351</v>
      </c>
      <c r="F2" s="179" t="s">
        <v>353</v>
      </c>
      <c r="G2" s="198" t="s">
        <v>360</v>
      </c>
      <c r="H2" s="179" t="s">
        <v>352</v>
      </c>
      <c r="I2" s="179" t="s">
        <v>354</v>
      </c>
      <c r="J2" s="198" t="s">
        <v>483</v>
      </c>
      <c r="K2" s="209" t="s">
        <v>459</v>
      </c>
      <c r="L2" s="179"/>
      <c r="M2" s="179" t="s">
        <v>460</v>
      </c>
    </row>
    <row r="3" spans="1:13" ht="13.5" customHeight="1">
      <c r="A3" s="195"/>
      <c r="B3" s="179" t="s">
        <v>4</v>
      </c>
      <c r="C3" s="196">
        <f>'обор.шув-2,3'!AD7</f>
        <v>2999</v>
      </c>
      <c r="D3" s="196">
        <f>'обор.шув-2,3'!AD13</f>
        <v>324684.5</v>
      </c>
      <c r="E3" s="196">
        <f>'обор.шув-2,3'!AD16</f>
        <v>83364.5</v>
      </c>
      <c r="F3" s="196">
        <f>'обор.шув-2,3'!AD25</f>
        <v>897607.1</v>
      </c>
      <c r="G3" s="199">
        <f>SUM(C3:F3)</f>
        <v>1308655.1000000001</v>
      </c>
      <c r="H3" s="196">
        <f>'обор.шув-2,3'!AD19</f>
        <v>153079.5</v>
      </c>
      <c r="I3" s="196">
        <f>'обор.шув-2,3'!AD28</f>
        <v>1548533.0975000001</v>
      </c>
      <c r="J3" s="199">
        <f>SUM(H3:I3)</f>
        <v>1701612.5975000001</v>
      </c>
      <c r="K3" s="210">
        <f>G3+J3</f>
        <v>3010267.6975000002</v>
      </c>
      <c r="L3" s="196"/>
      <c r="M3" s="196">
        <f>'обор.шув-2,3'!AD43</f>
        <v>2124231.5350000001</v>
      </c>
    </row>
    <row r="4" spans="1:13" s="87" customFormat="1" ht="10.5" customHeight="1" outlineLevel="1">
      <c r="A4" s="86"/>
      <c r="B4" s="175" t="s">
        <v>356</v>
      </c>
      <c r="C4" s="175"/>
      <c r="D4" s="175"/>
      <c r="E4" s="175"/>
      <c r="F4" s="181">
        <f>'обор.шув-2,3'!L25-'обор.шув-2,3'!V25</f>
        <v>189.56896</v>
      </c>
      <c r="G4" s="200">
        <f>'обор.шув-2,3'!E25+'обор.шув-2,3'!L25-'обор.шув-2,3'!V25</f>
        <v>235.28136000000001</v>
      </c>
      <c r="H4" s="181">
        <f>'обор.шув-2,3'!L19-'обор.шув-2,3'!V19+'обор.шув-2,3'!L10-'обор.шув-2,3'!V10+'обор.шув-2,3'!L22-'обор.шув-2,3'!V22</f>
        <v>66.867999999999995</v>
      </c>
      <c r="I4" s="180">
        <f>'обор.шув-2,3'!L28-'обор.шув-2,3'!V28</f>
        <v>872.90357749999998</v>
      </c>
      <c r="J4" s="208">
        <f>SUM(H4:I4)+'обор.шув-2,3'!L31</f>
        <v>979.9645774999999</v>
      </c>
      <c r="K4" s="211">
        <f>G4+J4</f>
        <v>1215.2459374999999</v>
      </c>
      <c r="L4" s="1095"/>
      <c r="M4" s="766">
        <f>'обор.шув-2,3'!L43-'обор.шув-2,3'!V43</f>
        <v>1557.8573899999999</v>
      </c>
    </row>
    <row r="5" spans="1:13" s="87" customFormat="1" ht="9.75" customHeight="1" outlineLevel="1">
      <c r="A5" s="86"/>
      <c r="B5" s="175"/>
      <c r="C5" s="175"/>
      <c r="D5" s="175"/>
      <c r="E5" s="175"/>
      <c r="F5" s="181"/>
      <c r="G5" s="200"/>
      <c r="H5" s="181"/>
      <c r="I5" s="180"/>
      <c r="J5" s="208"/>
      <c r="K5" s="211"/>
      <c r="L5" s="1095"/>
      <c r="M5" s="180"/>
    </row>
    <row r="6" spans="1:13" s="87" customFormat="1" ht="16.5" customHeight="1" thickBot="1">
      <c r="A6" s="90"/>
      <c r="B6" s="175" t="s">
        <v>58</v>
      </c>
      <c r="C6" s="2536" t="s">
        <v>122</v>
      </c>
      <c r="D6" s="2537"/>
      <c r="E6" s="2537"/>
      <c r="F6" s="2537"/>
      <c r="G6" s="2537"/>
      <c r="H6" s="2537"/>
      <c r="I6" s="2537"/>
      <c r="J6" s="2537"/>
      <c r="K6" s="2538"/>
      <c r="L6" s="767"/>
      <c r="M6" s="88"/>
    </row>
    <row r="7" spans="1:13" s="87" customFormat="1" ht="9" customHeight="1">
      <c r="A7" s="86"/>
      <c r="B7" s="182" t="s">
        <v>60</v>
      </c>
      <c r="C7" s="183">
        <f t="shared" ref="C7:K7" si="0">SUM(C8,C11,C14:C17,C20:C20)</f>
        <v>435.98964153900681</v>
      </c>
      <c r="D7" s="183">
        <f t="shared" si="0"/>
        <v>20238.772022992471</v>
      </c>
      <c r="E7" s="183">
        <f t="shared" si="0"/>
        <v>5419.0849194767425</v>
      </c>
      <c r="F7" s="183">
        <f t="shared" si="0"/>
        <v>4154.9821181622046</v>
      </c>
      <c r="G7" s="202">
        <f t="shared" si="0"/>
        <v>30248.828702170416</v>
      </c>
      <c r="H7" s="183">
        <f t="shared" si="0"/>
        <v>3688.4152861017064</v>
      </c>
      <c r="I7" s="183">
        <f t="shared" si="0"/>
        <v>35561.674154479369</v>
      </c>
      <c r="J7" s="202">
        <f t="shared" si="0"/>
        <v>39250.089440581069</v>
      </c>
      <c r="K7" s="213">
        <f t="shared" si="0"/>
        <v>69498.9181427515</v>
      </c>
      <c r="L7" s="183"/>
      <c r="M7" s="183">
        <f>SUM(M8,M11,M14:M17,M20:M20)</f>
        <v>89766.722199295007</v>
      </c>
    </row>
    <row r="8" spans="1:13" ht="9" customHeight="1" outlineLevel="1">
      <c r="A8" s="91"/>
      <c r="B8" s="176" t="s">
        <v>503</v>
      </c>
      <c r="C8" s="176">
        <f>'обор.шув-2,3'!E92</f>
        <v>397.21248000000003</v>
      </c>
      <c r="D8" s="176">
        <f>'обор.шув-2,3'!G92</f>
        <v>19046.252517599994</v>
      </c>
      <c r="E8" s="176">
        <f>'обор.шув-2,3'!I92</f>
        <v>4665.7443359999997</v>
      </c>
      <c r="F8" s="176">
        <f>'обор.шув-2,3'!M92</f>
        <v>970.85183935999999</v>
      </c>
      <c r="G8" s="198">
        <f>SUM(C8:F8)</f>
        <v>25080.061172959991</v>
      </c>
      <c r="H8" s="176">
        <f>'обор.шув-2,3'!K92</f>
        <v>3273.4520280000011</v>
      </c>
      <c r="I8" s="176">
        <f>'обор.шув-2,3'!O92</f>
        <v>32425.353941791502</v>
      </c>
      <c r="J8" s="204">
        <f>SUM(H8:I8)</f>
        <v>35698.805969791501</v>
      </c>
      <c r="K8" s="212">
        <f>G8+J8</f>
        <v>60778.867142751493</v>
      </c>
      <c r="L8" s="1096"/>
      <c r="M8" s="176">
        <f>'обор.шув-2,3'!Y92</f>
        <v>83985.742199294997</v>
      </c>
    </row>
    <row r="9" spans="1:13" s="94" customFormat="1" ht="9" customHeight="1" outlineLevel="2">
      <c r="A9" s="93"/>
      <c r="B9" s="176" t="s">
        <v>123</v>
      </c>
      <c r="C9" s="176">
        <f>'обор.шув-2,3'!D92</f>
        <v>17.732700000000001</v>
      </c>
      <c r="D9" s="176">
        <f>'обор.шув-2,3'!F92</f>
        <v>1071.4588499999998</v>
      </c>
      <c r="E9" s="176">
        <f>'обор.шув-2,3'!H92</f>
        <v>275.10284999999999</v>
      </c>
      <c r="F9" s="176">
        <f>'обор.шув-2,3'!L92</f>
        <v>23.337784599999999</v>
      </c>
      <c r="G9" s="198">
        <f>SUM(C9:F9)</f>
        <v>1387.6321845999998</v>
      </c>
      <c r="H9" s="176">
        <f>'обор.шув-2,3'!J92</f>
        <v>165.32586000000003</v>
      </c>
      <c r="I9" s="176">
        <f>'обор.шув-2,3'!N92</f>
        <v>1393.6797877499998</v>
      </c>
      <c r="J9" s="204">
        <f>SUM(H9:I9)</f>
        <v>1559.0056477499998</v>
      </c>
      <c r="K9" s="212">
        <f>G9+J9</f>
        <v>2946.6378323499994</v>
      </c>
      <c r="L9" s="1096"/>
      <c r="M9" s="176">
        <f>'обор.шув-2,3'!X92</f>
        <v>4885.7325304999995</v>
      </c>
    </row>
    <row r="10" spans="1:13" s="96" customFormat="1" ht="9" customHeight="1" outlineLevel="2">
      <c r="A10" s="95"/>
      <c r="B10" s="184" t="s">
        <v>63</v>
      </c>
      <c r="C10" s="184">
        <f t="shared" ref="C10:H10" si="1">C8/C9*1000</f>
        <v>22400</v>
      </c>
      <c r="D10" s="184">
        <f t="shared" si="1"/>
        <v>17776</v>
      </c>
      <c r="E10" s="184">
        <f t="shared" si="1"/>
        <v>16960</v>
      </c>
      <c r="F10" s="184"/>
      <c r="G10" s="203">
        <f t="shared" si="1"/>
        <v>18073.997887408179</v>
      </c>
      <c r="H10" s="184">
        <f t="shared" si="1"/>
        <v>19800</v>
      </c>
      <c r="I10" s="184">
        <f>I8/I9*1000</f>
        <v>23266.000000000004</v>
      </c>
      <c r="J10" s="203">
        <f>J8/J9*1000</f>
        <v>22898.445570940046</v>
      </c>
      <c r="K10" s="214">
        <f>K8/K9*1000</f>
        <v>20626.514217486714</v>
      </c>
      <c r="L10" s="184"/>
      <c r="M10" s="184">
        <f>M8/M9*1000</f>
        <v>17190</v>
      </c>
    </row>
    <row r="11" spans="1:13" ht="9" customHeight="1" outlineLevel="1">
      <c r="A11" s="91"/>
      <c r="B11" s="176" t="s">
        <v>124</v>
      </c>
      <c r="C11" s="176"/>
      <c r="D11" s="176"/>
      <c r="E11" s="176"/>
      <c r="F11" s="176">
        <f>'обор.шув-2,3'!M93</f>
        <v>0</v>
      </c>
      <c r="G11" s="198">
        <f>SUM(C11:F11)</f>
        <v>0</v>
      </c>
      <c r="H11" s="176"/>
      <c r="I11" s="176">
        <f>'обор.шув-2,3'!O93</f>
        <v>0</v>
      </c>
      <c r="J11" s="204">
        <f>SUM(H11:I11)</f>
        <v>0</v>
      </c>
      <c r="K11" s="212">
        <f>G11+J11</f>
        <v>0</v>
      </c>
      <c r="L11" s="1096"/>
      <c r="M11" s="176">
        <f>'обор.шув-2,3'!Y93</f>
        <v>0</v>
      </c>
    </row>
    <row r="12" spans="1:13" s="94" customFormat="1" ht="9" customHeight="1" outlineLevel="2">
      <c r="A12" s="93"/>
      <c r="B12" s="176" t="s">
        <v>123</v>
      </c>
      <c r="C12" s="176"/>
      <c r="D12" s="176"/>
      <c r="E12" s="176"/>
      <c r="F12" s="176">
        <f>'обор.шув-2,3'!L93</f>
        <v>0</v>
      </c>
      <c r="G12" s="198">
        <f>SUM(C12:F12)</f>
        <v>0</v>
      </c>
      <c r="H12" s="176"/>
      <c r="I12" s="176">
        <f>'обор.шув-2,3'!N93</f>
        <v>0</v>
      </c>
      <c r="J12" s="204">
        <f>SUM(H12:I12)</f>
        <v>0</v>
      </c>
      <c r="K12" s="212">
        <f>G12+J12</f>
        <v>0</v>
      </c>
      <c r="L12" s="1096"/>
      <c r="M12" s="176">
        <f>'обор.шув-2,3'!X93</f>
        <v>0</v>
      </c>
    </row>
    <row r="13" spans="1:13" s="96" customFormat="1" ht="9" customHeight="1" outlineLevel="2">
      <c r="A13" s="95"/>
      <c r="B13" s="184" t="s">
        <v>63</v>
      </c>
      <c r="C13" s="184"/>
      <c r="D13" s="184"/>
      <c r="E13" s="184"/>
      <c r="F13" s="184" t="e">
        <f>F11/F12*1000</f>
        <v>#DIV/0!</v>
      </c>
      <c r="G13" s="203" t="e">
        <f>G11/G12*1000</f>
        <v>#DIV/0!</v>
      </c>
      <c r="H13" s="184"/>
      <c r="I13" s="184" t="e">
        <f>I11/I12*1000</f>
        <v>#DIV/0!</v>
      </c>
      <c r="J13" s="203" t="e">
        <f>J11/J12*1000</f>
        <v>#DIV/0!</v>
      </c>
      <c r="K13" s="214" t="e">
        <f>K11/K12*1000</f>
        <v>#DIV/0!</v>
      </c>
      <c r="L13" s="184"/>
      <c r="M13" s="184"/>
    </row>
    <row r="14" spans="1:13" s="98" customFormat="1" ht="9" customHeight="1" outlineLevel="1">
      <c r="A14" s="97"/>
      <c r="B14" s="176" t="s">
        <v>125</v>
      </c>
      <c r="C14" s="176">
        <f>'обор.шув-2,3'!E97</f>
        <v>0.3</v>
      </c>
      <c r="D14" s="176">
        <f>'обор.шув-2,3'!G97</f>
        <v>0</v>
      </c>
      <c r="E14" s="176">
        <f>'обор.шув-2,3'!I97</f>
        <v>0</v>
      </c>
      <c r="F14" s="176">
        <f>'обор.шув-2,3'!M97</f>
        <v>37.200000000000003</v>
      </c>
      <c r="G14" s="198">
        <f>SUM(C14:F14)</f>
        <v>37.5</v>
      </c>
      <c r="H14" s="176">
        <f>'обор.шув-2,3'!K97</f>
        <v>0</v>
      </c>
      <c r="I14" s="176">
        <f>'обор.шув-2,3'!O97</f>
        <v>0</v>
      </c>
      <c r="J14" s="204">
        <f>SUM(H14:I14)</f>
        <v>0</v>
      </c>
      <c r="K14" s="212">
        <f t="shared" ref="K14:K18" si="2">G14+J14</f>
        <v>37.5</v>
      </c>
      <c r="L14" s="1096"/>
      <c r="M14" s="176">
        <f>'обор.шув-2,3'!Y97</f>
        <v>0</v>
      </c>
    </row>
    <row r="15" spans="1:13" s="94" customFormat="1" ht="9" customHeight="1" outlineLevel="1">
      <c r="A15" s="93"/>
      <c r="B15" s="176" t="s">
        <v>126</v>
      </c>
      <c r="C15" s="176"/>
      <c r="D15" s="176"/>
      <c r="E15" s="176"/>
      <c r="F15" s="176"/>
      <c r="G15" s="198">
        <f t="shared" ref="G15:G33" si="3">SUM(C15:F15)</f>
        <v>0</v>
      </c>
      <c r="H15" s="176"/>
      <c r="I15" s="176"/>
      <c r="J15" s="204">
        <f>SUM(H15:I15)</f>
        <v>0</v>
      </c>
      <c r="K15" s="212">
        <f t="shared" si="2"/>
        <v>0</v>
      </c>
      <c r="L15" s="1096"/>
      <c r="M15" s="176"/>
    </row>
    <row r="16" spans="1:13" s="98" customFormat="1" ht="9" customHeight="1" outlineLevel="1">
      <c r="A16" s="97"/>
      <c r="B16" s="176" t="s">
        <v>127</v>
      </c>
      <c r="C16" s="2243">
        <f>'[1]затраты св-во шув-2'!C16+'[2]затраты св-во шув-2'!C16</f>
        <v>37.240543999999829</v>
      </c>
      <c r="D16" s="2243">
        <f>'[1]затраты св-во шув-2'!D16+'[2]затраты св-во шув-2'!D16</f>
        <v>764.83538149999993</v>
      </c>
      <c r="E16" s="2243">
        <f>'[1]затраты св-во шув-2'!E16+'[2]затраты св-во шув-2'!E16</f>
        <v>666.97137499999997</v>
      </c>
      <c r="F16" s="2243">
        <f>'[1]затраты св-во шув-2'!F16+'[2]затраты св-во шув-2'!F16</f>
        <v>2142.7225539999999</v>
      </c>
      <c r="G16" s="198">
        <f t="shared" si="3"/>
        <v>3611.7698544999998</v>
      </c>
      <c r="H16" s="2243">
        <f>'[1]затраты св-во шув-2'!H16+'[2]затраты св-во шув-2'!H16</f>
        <v>249.148822</v>
      </c>
      <c r="I16" s="2243">
        <f>'[1]затраты св-во шув-2'!I16+'[2]затраты св-во шув-2'!I16</f>
        <v>1294.3463234999999</v>
      </c>
      <c r="J16" s="204">
        <f>SUM(H16:I16)</f>
        <v>1543.4951455</v>
      </c>
      <c r="K16" s="212">
        <f t="shared" si="2"/>
        <v>5155.2649999999994</v>
      </c>
      <c r="L16" s="1096"/>
      <c r="M16" s="2243">
        <f>'[1]затраты св-во шув-2'!M16+'[2]затраты св-во шув-2'!M16</f>
        <v>2410.85</v>
      </c>
    </row>
    <row r="17" spans="1:13" ht="9" customHeight="1" outlineLevel="1">
      <c r="A17" s="91"/>
      <c r="B17" s="176" t="s">
        <v>67</v>
      </c>
      <c r="C17" s="2243">
        <f>'[1]затраты св-во шув-2'!C17+'[2]затраты св-во шув-2'!C17</f>
        <v>0</v>
      </c>
      <c r="D17" s="2243">
        <f>'[1]затраты св-во шув-2'!D17+'[2]затраты св-во шув-2'!D17</f>
        <v>93.092999999999989</v>
      </c>
      <c r="E17" s="2243">
        <f>'[1]затраты св-во шув-2'!E17+'[2]затраты св-во шув-2'!E17</f>
        <v>0.42899999999999999</v>
      </c>
      <c r="F17" s="2243">
        <f>'[1]затраты св-во шув-2'!F17+'[2]затраты св-во шув-2'!F17</f>
        <v>80.652000000000001</v>
      </c>
      <c r="G17" s="198">
        <f>SUM(C17:F17)</f>
        <v>174.17399999999998</v>
      </c>
      <c r="H17" s="2243">
        <f>'[1]затраты св-во шув-2'!H17+'[2]затраты св-во шув-2'!H17</f>
        <v>6.0059999999999993</v>
      </c>
      <c r="I17" s="2243">
        <f>'[1]затраты св-во шув-2'!I17+'[2]затраты св-во шув-2'!I17</f>
        <v>248.81999999999996</v>
      </c>
      <c r="J17" s="204">
        <f>SUM(H17:I17)</f>
        <v>254.82599999999996</v>
      </c>
      <c r="K17" s="212">
        <f t="shared" si="2"/>
        <v>428.99999999999994</v>
      </c>
      <c r="L17" s="92"/>
      <c r="M17" s="2243">
        <f>'[1]затраты св-во шув-2'!M17+'[2]затраты св-во шув-2'!M17</f>
        <v>165</v>
      </c>
    </row>
    <row r="18" spans="1:13" s="94" customFormat="1" ht="9" customHeight="1" outlineLevel="2">
      <c r="A18" s="93"/>
      <c r="B18" s="176" t="s">
        <v>123</v>
      </c>
      <c r="C18" s="2243">
        <f>'[1]затраты св-во шув-2'!C18+'[2]затраты св-во шув-2'!C18</f>
        <v>0</v>
      </c>
      <c r="D18" s="2243">
        <f>'[1]затраты св-во шув-2'!D18+'[2]затраты св-во шув-2'!D18</f>
        <v>2.8209999999999997</v>
      </c>
      <c r="E18" s="2243">
        <f>'[1]затраты св-во шув-2'!E18+'[2]затраты св-во шув-2'!E18</f>
        <v>1.2999999999999999E-2</v>
      </c>
      <c r="F18" s="2243">
        <f>'[1]затраты св-во шув-2'!F18+'[2]затраты св-во шув-2'!F18</f>
        <v>2.444</v>
      </c>
      <c r="G18" s="198">
        <f t="shared" ref="G18" si="4">SUM(C18:F18)</f>
        <v>5.2779999999999996</v>
      </c>
      <c r="H18" s="2243">
        <f>'[1]затраты св-во шув-2'!H18+'[2]затраты св-во шув-2'!H18</f>
        <v>0.18199999999999997</v>
      </c>
      <c r="I18" s="2243">
        <f>'[1]затраты св-во шув-2'!I18+'[2]затраты св-во шув-2'!I18</f>
        <v>7.5399999999999991</v>
      </c>
      <c r="J18" s="204">
        <f>SUM(H18:I18)</f>
        <v>7.7219999999999995</v>
      </c>
      <c r="K18" s="212">
        <f t="shared" si="2"/>
        <v>13</v>
      </c>
      <c r="L18" s="1096"/>
      <c r="M18" s="2243">
        <f>'[1]затраты св-во шув-2'!M18+'[2]затраты св-во шув-2'!M18</f>
        <v>5</v>
      </c>
    </row>
    <row r="19" spans="1:13" s="96" customFormat="1" ht="9" customHeight="1" outlineLevel="2">
      <c r="A19" s="95"/>
      <c r="B19" s="184" t="s">
        <v>63</v>
      </c>
      <c r="C19" s="184" t="e">
        <f>C17/C18*1000</f>
        <v>#DIV/0!</v>
      </c>
      <c r="D19" s="184">
        <f t="shared" ref="D19:F19" si="5">D17/D18*1000</f>
        <v>33000</v>
      </c>
      <c r="E19" s="184">
        <f t="shared" si="5"/>
        <v>33000</v>
      </c>
      <c r="F19" s="184">
        <f t="shared" si="5"/>
        <v>33000</v>
      </c>
      <c r="G19" s="203">
        <f>G17/G18*1000</f>
        <v>33000</v>
      </c>
      <c r="H19" s="184">
        <f t="shared" ref="H19:I19" si="6">H17/H18*1000</f>
        <v>33000</v>
      </c>
      <c r="I19" s="184">
        <f t="shared" si="6"/>
        <v>33000</v>
      </c>
      <c r="J19" s="203">
        <f>J17/J18*1000</f>
        <v>33000</v>
      </c>
      <c r="K19" s="214">
        <f t="shared" ref="K19" si="7">K17/K18*1000</f>
        <v>32999.999999999993</v>
      </c>
      <c r="L19" s="184"/>
      <c r="M19" s="184">
        <f>M17/M18*1000</f>
        <v>33000</v>
      </c>
    </row>
    <row r="20" spans="1:13" ht="9" customHeight="1" outlineLevel="2">
      <c r="A20" s="91"/>
      <c r="B20" s="185" t="s">
        <v>71</v>
      </c>
      <c r="C20" s="2243">
        <f>'[1]затраты св-во шув-2'!C20+'[2]затраты св-во шув-2'!C20</f>
        <v>1.2366175390069341</v>
      </c>
      <c r="D20" s="2243">
        <f>'[1]затраты св-во шув-2'!D20+'[2]затраты св-во шув-2'!D20</f>
        <v>334.59112389247395</v>
      </c>
      <c r="E20" s="2243">
        <f>'[1]затраты св-во шув-2'!E20+'[2]затраты св-во шув-2'!E20</f>
        <v>85.940208476742981</v>
      </c>
      <c r="F20" s="2243">
        <f>'[1]затраты св-во шув-2'!F20+'[2]затраты св-во шув-2'!F20</f>
        <v>923.55572480220417</v>
      </c>
      <c r="G20" s="198">
        <f t="shared" ref="G20" si="8">SUM(C20:F20)</f>
        <v>1345.3236747104279</v>
      </c>
      <c r="H20" s="2243">
        <f>'[1]затраты св-во шув-2'!H20+'[2]затраты св-во шув-2'!H20</f>
        <v>159.80843610170535</v>
      </c>
      <c r="I20" s="2243">
        <f>'[1]затраты св-во шув-2'!I20+'[2]затраты св-во шув-2'!I20</f>
        <v>1593.1538891878665</v>
      </c>
      <c r="J20" s="204">
        <f>SUM(H20:I20)</f>
        <v>1752.9623252895719</v>
      </c>
      <c r="K20" s="212">
        <f t="shared" ref="K20:K23" si="9">G20+J20</f>
        <v>3098.2860000000001</v>
      </c>
      <c r="L20" s="1096"/>
      <c r="M20" s="2243">
        <f>'[1]затраты св-во шув-2'!M20+'[2]затраты св-во шув-2'!M20</f>
        <v>3205.13</v>
      </c>
    </row>
    <row r="21" spans="1:13" s="714" customFormat="1" ht="9" customHeight="1" outlineLevel="2">
      <c r="A21" s="712"/>
      <c r="B21" s="713" t="s">
        <v>72</v>
      </c>
      <c r="C21" s="2243">
        <f>'[1]затраты св-во шув-2'!C21+'[2]затраты св-во шув-2'!C21</f>
        <v>115.73639999999999</v>
      </c>
      <c r="D21" s="2243">
        <f>'[1]затраты св-во шув-2'!D21+'[2]затраты св-во шув-2'!D21</f>
        <v>1458.7778000000001</v>
      </c>
      <c r="E21" s="2243">
        <f>'[1]затраты св-во шув-2'!E21+'[2]затраты св-во шув-2'!E21</f>
        <v>2387.6432999999997</v>
      </c>
      <c r="F21" s="2243">
        <f>'[1]затраты св-во шув-2'!F21+'[2]затраты св-во шув-2'!F21</f>
        <v>2543.1714000000002</v>
      </c>
      <c r="G21" s="198">
        <f t="shared" si="3"/>
        <v>6505.3289000000004</v>
      </c>
      <c r="H21" s="2243">
        <f>'[1]затраты св-во шув-2'!H21+'[2]затраты св-во шув-2'!H21</f>
        <v>2584.7826400000004</v>
      </c>
      <c r="I21" s="2243">
        <f>'[1]затраты св-во шув-2'!I21+'[2]затраты св-во шув-2'!I21</f>
        <v>3166.4172999999996</v>
      </c>
      <c r="J21" s="204">
        <f>SUM(H21:I21)</f>
        <v>5751.1999400000004</v>
      </c>
      <c r="K21" s="212">
        <f t="shared" si="9"/>
        <v>12256.528840000001</v>
      </c>
      <c r="L21" s="1097"/>
      <c r="M21" s="2243">
        <f>'[1]затраты св-во шув-2'!M21+'[2]затраты св-во шув-2'!M21</f>
        <v>11089.93008</v>
      </c>
    </row>
    <row r="22" spans="1:13" s="87" customFormat="1" ht="9" customHeight="1" outlineLevel="1">
      <c r="A22" s="86"/>
      <c r="B22" s="88" t="s">
        <v>73</v>
      </c>
      <c r="C22" s="2243">
        <f>'[1]затраты св-во шув-2'!C22+'[2]затраты св-во шув-2'!C22</f>
        <v>3.9899999999999993</v>
      </c>
      <c r="D22" s="2243">
        <f>'[1]затраты св-во шув-2'!D22+'[2]затраты св-во шув-2'!D22</f>
        <v>430.92</v>
      </c>
      <c r="E22" s="2243">
        <f>'[1]затраты св-во шув-2'!E22+'[2]затраты св-во шув-2'!E22</f>
        <v>107.73</v>
      </c>
      <c r="F22" s="2243">
        <f>'[1]затраты св-во шув-2'!F22+'[2]затраты св-во шув-2'!F22</f>
        <v>1041.3899999999999</v>
      </c>
      <c r="G22" s="198">
        <f t="shared" si="3"/>
        <v>1584.0299999999997</v>
      </c>
      <c r="H22" s="2243">
        <f>'[1]затраты св-во шув-2'!H22+'[2]затраты св-во шув-2'!H22</f>
        <v>167.58</v>
      </c>
      <c r="I22" s="2243">
        <f>'[1]затраты св-во шув-2'!I22+'[2]затраты св-во шув-2'!I22</f>
        <v>2238.3900000000003</v>
      </c>
      <c r="J22" s="204">
        <f>SUM(H22:I22)</f>
        <v>2405.9700000000003</v>
      </c>
      <c r="K22" s="212">
        <f t="shared" si="9"/>
        <v>3990</v>
      </c>
      <c r="L22" s="1096"/>
      <c r="M22" s="2243">
        <f>'[1]затраты св-во шув-2'!M22+'[2]затраты св-во шув-2'!M22</f>
        <v>3330</v>
      </c>
    </row>
    <row r="23" spans="1:13" s="87" customFormat="1" ht="9" customHeight="1" outlineLevel="2">
      <c r="A23" s="86"/>
      <c r="B23" s="88" t="s">
        <v>74</v>
      </c>
      <c r="C23" s="176">
        <f>C22*'вспом. план'!$M$1</f>
        <v>1.2448799999999998</v>
      </c>
      <c r="D23" s="176">
        <f>D22*'вспом. план'!$M$1</f>
        <v>134.44704000000002</v>
      </c>
      <c r="E23" s="176">
        <f>E22*'вспом. план'!$M$1</f>
        <v>33.611760000000004</v>
      </c>
      <c r="F23" s="176">
        <f>F22*'вспом. план'!$M$1</f>
        <v>324.91367999999994</v>
      </c>
      <c r="G23" s="198">
        <f t="shared" si="3"/>
        <v>494.21735999999999</v>
      </c>
      <c r="H23" s="176">
        <f>H22*'вспом. план'!$M$1</f>
        <v>52.284960000000005</v>
      </c>
      <c r="I23" s="176">
        <f>I22*'вспом. план'!$M$1</f>
        <v>698.37768000000005</v>
      </c>
      <c r="J23" s="204">
        <f>SUM(H23:I23)</f>
        <v>750.66264000000001</v>
      </c>
      <c r="K23" s="212">
        <f t="shared" si="9"/>
        <v>1244.8800000000001</v>
      </c>
      <c r="L23" s="1096"/>
      <c r="M23" s="176">
        <f>M22*'вспом. план'!$M$1</f>
        <v>1038.96</v>
      </c>
    </row>
    <row r="24" spans="1:13" s="87" customFormat="1" ht="9" customHeight="1" outlineLevel="2">
      <c r="A24" s="86"/>
      <c r="B24" s="88" t="s">
        <v>75</v>
      </c>
      <c r="C24" s="176">
        <f>C25+C26+C27</f>
        <v>0</v>
      </c>
      <c r="D24" s="176">
        <f t="shared" ref="D24:F24" si="10">D25+D26+D27</f>
        <v>0</v>
      </c>
      <c r="E24" s="176">
        <f t="shared" si="10"/>
        <v>0</v>
      </c>
      <c r="F24" s="176">
        <f t="shared" si="10"/>
        <v>0</v>
      </c>
      <c r="G24" s="198">
        <f t="shared" si="3"/>
        <v>0</v>
      </c>
      <c r="H24" s="176">
        <f t="shared" ref="H24:I24" si="11">H25+H26+H27</f>
        <v>0</v>
      </c>
      <c r="I24" s="176">
        <f t="shared" si="11"/>
        <v>0</v>
      </c>
      <c r="J24" s="204">
        <f t="shared" ref="J24:K24" si="12">J25+J26+J27</f>
        <v>0</v>
      </c>
      <c r="K24" s="325">
        <f t="shared" si="12"/>
        <v>0</v>
      </c>
      <c r="L24" s="176"/>
      <c r="M24" s="176">
        <f>M25+M26+M27</f>
        <v>7007.6</v>
      </c>
    </row>
    <row r="25" spans="1:13" s="87" customFormat="1" ht="9" customHeight="1" outlineLevel="2">
      <c r="A25" s="86"/>
      <c r="B25" s="101" t="s">
        <v>130</v>
      </c>
      <c r="C25" s="2243">
        <f>'[1]затраты св-во шув-2'!C25+'[2]затраты св-во шув-2'!C25</f>
        <v>0</v>
      </c>
      <c r="D25" s="2243">
        <f>'[1]затраты св-во шув-2'!D25+'[2]затраты св-во шув-2'!D25</f>
        <v>0</v>
      </c>
      <c r="E25" s="2243">
        <f>'[1]затраты св-во шув-2'!E25+'[2]затраты св-во шув-2'!E25</f>
        <v>0</v>
      </c>
      <c r="F25" s="2243">
        <f>'[1]затраты св-во шув-2'!F25+'[2]затраты св-во шув-2'!F25</f>
        <v>0</v>
      </c>
      <c r="G25" s="198">
        <f>SUM(C25:F25)</f>
        <v>0</v>
      </c>
      <c r="H25" s="2243">
        <f>'[1]затраты св-во шув-2'!H25+'[2]затраты св-во шув-2'!H25</f>
        <v>0</v>
      </c>
      <c r="I25" s="2243">
        <f>'[1]затраты св-во шув-2'!I25+'[2]затраты св-во шув-2'!I25</f>
        <v>0</v>
      </c>
      <c r="J25" s="204">
        <f>SUM(H25:I25)</f>
        <v>0</v>
      </c>
      <c r="K25" s="212">
        <f t="shared" ref="K25:K27" si="13">G25+J25</f>
        <v>0</v>
      </c>
      <c r="L25" s="1096"/>
      <c r="M25" s="2243">
        <f>'[1]затраты св-во шув-2'!M25+'[2]затраты св-во шув-2'!M25</f>
        <v>6346.6</v>
      </c>
    </row>
    <row r="26" spans="1:13" s="324" customFormat="1" ht="9" customHeight="1" outlineLevel="2">
      <c r="A26" s="195"/>
      <c r="B26" s="101" t="s">
        <v>77</v>
      </c>
      <c r="C26" s="2243">
        <f>'[1]затраты св-во шув-2'!C26+'[2]затраты св-во шув-2'!C26</f>
        <v>0</v>
      </c>
      <c r="D26" s="2243">
        <f>'[1]затраты св-во шув-2'!D26+'[2]затраты св-во шув-2'!D26</f>
        <v>0</v>
      </c>
      <c r="E26" s="2243">
        <f>'[1]затраты св-во шув-2'!E26+'[2]затраты св-во шув-2'!E26</f>
        <v>0</v>
      </c>
      <c r="F26" s="2243">
        <f>'[1]затраты св-во шув-2'!F26+'[2]затраты св-во шув-2'!F26</f>
        <v>0</v>
      </c>
      <c r="G26" s="198">
        <f>SUM(C26:F26)</f>
        <v>0</v>
      </c>
      <c r="H26" s="2243">
        <f>'[1]затраты св-во шув-2'!H26+'[2]затраты св-во шув-2'!H26</f>
        <v>0</v>
      </c>
      <c r="I26" s="2243">
        <f>'[1]затраты св-во шув-2'!I26+'[2]затраты св-во шув-2'!I26</f>
        <v>0</v>
      </c>
      <c r="J26" s="204">
        <f t="shared" ref="J26:J28" si="14">SUM(H26:I26)</f>
        <v>0</v>
      </c>
      <c r="K26" s="212">
        <f t="shared" si="13"/>
        <v>0</v>
      </c>
      <c r="L26" s="348"/>
      <c r="M26" s="2243">
        <f>'[1]затраты св-во шув-2'!M26+'[2]затраты св-во шув-2'!M26</f>
        <v>0</v>
      </c>
    </row>
    <row r="27" spans="1:13" ht="9" customHeight="1" outlineLevel="1">
      <c r="A27" s="91"/>
      <c r="B27" s="101" t="s">
        <v>78</v>
      </c>
      <c r="C27" s="2243">
        <f>'[1]затраты св-во шув-2'!C27+'[2]затраты св-во шув-2'!C27</f>
        <v>0</v>
      </c>
      <c r="D27" s="2243">
        <f>'[1]затраты св-во шув-2'!D27+'[2]затраты св-во шув-2'!D27</f>
        <v>0</v>
      </c>
      <c r="E27" s="2243">
        <f>'[1]затраты св-во шув-2'!E27+'[2]затраты св-во шув-2'!E27</f>
        <v>0</v>
      </c>
      <c r="F27" s="2243">
        <f>'[1]затраты св-во шув-2'!F27+'[2]затраты св-во шув-2'!F27</f>
        <v>0</v>
      </c>
      <c r="G27" s="198">
        <f>SUM(C27:F27)</f>
        <v>0</v>
      </c>
      <c r="H27" s="2243">
        <f>'[1]затраты св-во шув-2'!H27+'[2]затраты св-во шув-2'!H27</f>
        <v>0</v>
      </c>
      <c r="I27" s="2243">
        <f>'[1]затраты св-во шув-2'!I27+'[2]затраты св-во шув-2'!I27</f>
        <v>0</v>
      </c>
      <c r="J27" s="204">
        <f t="shared" si="14"/>
        <v>0</v>
      </c>
      <c r="K27" s="212">
        <f t="shared" si="13"/>
        <v>0</v>
      </c>
      <c r="L27" s="1096"/>
      <c r="M27" s="2243">
        <f>'[1]затраты св-во шув-2'!M27+'[2]затраты св-во шув-2'!M27</f>
        <v>661</v>
      </c>
    </row>
    <row r="28" spans="1:13" s="87" customFormat="1" ht="9" customHeight="1" outlineLevel="2">
      <c r="A28" s="86"/>
      <c r="B28" s="88" t="s">
        <v>79</v>
      </c>
      <c r="C28" s="183">
        <f t="shared" ref="C28" si="15">SUM(C29:C33)</f>
        <v>0</v>
      </c>
      <c r="D28" s="183">
        <f t="shared" ref="D28:F28" si="16">SUM(D29:D33)</f>
        <v>0</v>
      </c>
      <c r="E28" s="183">
        <f t="shared" si="16"/>
        <v>0</v>
      </c>
      <c r="F28" s="183">
        <f t="shared" si="16"/>
        <v>0</v>
      </c>
      <c r="G28" s="198">
        <f t="shared" si="3"/>
        <v>0</v>
      </c>
      <c r="H28" s="183">
        <f t="shared" ref="H28:I28" si="17">SUM(H29:H33)</f>
        <v>0</v>
      </c>
      <c r="I28" s="183">
        <f t="shared" si="17"/>
        <v>0</v>
      </c>
      <c r="J28" s="204">
        <f t="shared" si="14"/>
        <v>0</v>
      </c>
      <c r="K28" s="212">
        <f t="shared" ref="K28:K33" si="18">G28+J28</f>
        <v>0</v>
      </c>
      <c r="L28" s="1096"/>
      <c r="M28" s="183">
        <f t="shared" ref="M28" si="19">SUM(M29:M33)</f>
        <v>100</v>
      </c>
    </row>
    <row r="29" spans="1:13" ht="15" customHeight="1" outlineLevel="1">
      <c r="A29" s="91"/>
      <c r="B29" s="186" t="s">
        <v>524</v>
      </c>
      <c r="C29" s="2243">
        <f>'[1]затраты св-во шув-2'!C29+'[2]затраты св-во шув-2'!C29</f>
        <v>0</v>
      </c>
      <c r="D29" s="2243">
        <f>'[1]затраты св-во шув-2'!D29+'[2]затраты св-во шув-2'!D29</f>
        <v>0</v>
      </c>
      <c r="E29" s="2243">
        <f>'[1]затраты св-во шув-2'!E29+'[2]затраты св-во шув-2'!E29</f>
        <v>0</v>
      </c>
      <c r="F29" s="2243">
        <f>'[1]затраты св-во шув-2'!F29+'[2]затраты св-во шув-2'!F29</f>
        <v>0</v>
      </c>
      <c r="G29" s="198">
        <f t="shared" si="3"/>
        <v>0</v>
      </c>
      <c r="H29" s="2243">
        <f>'[1]затраты св-во шув-2'!H29+'[2]затраты св-во шув-2'!H29</f>
        <v>0</v>
      </c>
      <c r="I29" s="2243">
        <f>'[1]затраты св-во шув-2'!I29+'[2]затраты св-во шув-2'!I29</f>
        <v>0</v>
      </c>
      <c r="J29" s="204">
        <f>SUM(H29:I29)</f>
        <v>0</v>
      </c>
      <c r="K29" s="212">
        <f>G29+J29</f>
        <v>0</v>
      </c>
      <c r="L29" s="1096"/>
      <c r="M29" s="2243">
        <f>'[1]затраты св-во шув-2'!M29+'[2]затраты св-во шув-2'!M29</f>
        <v>100</v>
      </c>
    </row>
    <row r="30" spans="1:13" ht="9" customHeight="1" outlineLevel="2">
      <c r="A30" s="91"/>
      <c r="B30" s="187" t="s">
        <v>131</v>
      </c>
      <c r="C30" s="176"/>
      <c r="D30" s="176"/>
      <c r="E30" s="176"/>
      <c r="F30" s="176"/>
      <c r="G30" s="198">
        <f t="shared" si="3"/>
        <v>0</v>
      </c>
      <c r="H30" s="176"/>
      <c r="I30" s="176"/>
      <c r="J30" s="204"/>
      <c r="K30" s="212">
        <f t="shared" si="18"/>
        <v>0</v>
      </c>
      <c r="L30" s="1096"/>
      <c r="M30" s="187"/>
    </row>
    <row r="31" spans="1:13" ht="9" customHeight="1" outlineLevel="1">
      <c r="A31" s="91"/>
      <c r="B31" s="187" t="s">
        <v>82</v>
      </c>
      <c r="C31" s="176"/>
      <c r="D31" s="176"/>
      <c r="E31" s="176"/>
      <c r="F31" s="176"/>
      <c r="G31" s="198">
        <f t="shared" si="3"/>
        <v>0</v>
      </c>
      <c r="H31" s="176"/>
      <c r="I31" s="176"/>
      <c r="J31" s="204"/>
      <c r="K31" s="212">
        <f t="shared" si="18"/>
        <v>0</v>
      </c>
      <c r="L31" s="1096"/>
      <c r="M31" s="187"/>
    </row>
    <row r="32" spans="1:13" s="87" customFormat="1" ht="9" customHeight="1" outlineLevel="2">
      <c r="A32" s="86"/>
      <c r="B32" s="187" t="s">
        <v>83</v>
      </c>
      <c r="C32" s="176"/>
      <c r="D32" s="176"/>
      <c r="E32" s="176"/>
      <c r="F32" s="176"/>
      <c r="G32" s="198">
        <f t="shared" si="3"/>
        <v>0</v>
      </c>
      <c r="H32" s="176"/>
      <c r="I32" s="176"/>
      <c r="J32" s="204"/>
      <c r="K32" s="212">
        <f t="shared" si="18"/>
        <v>0</v>
      </c>
      <c r="L32" s="1096"/>
      <c r="M32" s="187"/>
    </row>
    <row r="33" spans="1:13" s="87" customFormat="1" ht="9" customHeight="1" outlineLevel="2" thickBot="1">
      <c r="A33" s="86"/>
      <c r="B33" s="190" t="s">
        <v>88</v>
      </c>
      <c r="C33" s="176"/>
      <c r="D33" s="176"/>
      <c r="E33" s="176"/>
      <c r="F33" s="176"/>
      <c r="G33" s="198">
        <f t="shared" si="3"/>
        <v>0</v>
      </c>
      <c r="H33" s="176"/>
      <c r="I33" s="176"/>
      <c r="J33" s="204"/>
      <c r="K33" s="212">
        <f t="shared" si="18"/>
        <v>0</v>
      </c>
      <c r="L33" s="1098"/>
      <c r="M33" s="191"/>
    </row>
    <row r="34" spans="1:13" s="87" customFormat="1" ht="9" customHeight="1" outlineLevel="1" thickBot="1">
      <c r="A34" s="103"/>
      <c r="B34" s="193" t="s">
        <v>18</v>
      </c>
      <c r="C34" s="194">
        <f>C7+C21+C22+C23+C24+C28</f>
        <v>556.96092153900679</v>
      </c>
      <c r="D34" s="194">
        <f t="shared" ref="D34:I34" si="20">D7+D21+D22+D23+D24+D28</f>
        <v>22262.916862992468</v>
      </c>
      <c r="E34" s="194">
        <f t="shared" si="20"/>
        <v>7948.0699794767415</v>
      </c>
      <c r="F34" s="194">
        <f t="shared" si="20"/>
        <v>8064.4571981622048</v>
      </c>
      <c r="G34" s="206">
        <f>G7+G21+G22+G23+G24+G28</f>
        <v>38832.404962170418</v>
      </c>
      <c r="H34" s="194">
        <f t="shared" si="20"/>
        <v>6493.0628861017067</v>
      </c>
      <c r="I34" s="194">
        <f t="shared" si="20"/>
        <v>41664.859134479368</v>
      </c>
      <c r="J34" s="206">
        <f>J7+J21+J22+J23+J24+J28</f>
        <v>48157.922020581071</v>
      </c>
      <c r="K34" s="215">
        <f>K7+K21+K22+K23+K24+K28</f>
        <v>86990.326982751503</v>
      </c>
      <c r="L34" s="1099"/>
      <c r="M34" s="108">
        <f>M7+M21+M22+M23+M24+M28</f>
        <v>112333.21227929502</v>
      </c>
    </row>
    <row r="35" spans="1:13">
      <c r="A35" s="104"/>
      <c r="B35" s="192" t="s">
        <v>102</v>
      </c>
      <c r="C35" s="192">
        <f>SUM(C36:C41)</f>
        <v>0</v>
      </c>
      <c r="D35" s="192">
        <f t="shared" ref="D35:M35" si="21">SUM(D36:D41)</f>
        <v>0</v>
      </c>
      <c r="E35" s="192">
        <f t="shared" si="21"/>
        <v>0</v>
      </c>
      <c r="F35" s="192">
        <f t="shared" si="21"/>
        <v>0</v>
      </c>
      <c r="G35" s="207">
        <f t="shared" si="21"/>
        <v>0</v>
      </c>
      <c r="H35" s="192">
        <f t="shared" si="21"/>
        <v>0</v>
      </c>
      <c r="I35" s="192">
        <f t="shared" si="21"/>
        <v>0</v>
      </c>
      <c r="J35" s="207">
        <f t="shared" si="21"/>
        <v>0</v>
      </c>
      <c r="K35" s="212">
        <f t="shared" ref="K35:K41" si="22">G35+J35</f>
        <v>0</v>
      </c>
      <c r="L35" s="1096"/>
      <c r="M35" s="192">
        <f t="shared" si="21"/>
        <v>0</v>
      </c>
    </row>
    <row r="36" spans="1:13">
      <c r="A36" s="105"/>
      <c r="B36" s="282" t="s">
        <v>422</v>
      </c>
      <c r="C36" s="187"/>
      <c r="D36" s="187"/>
      <c r="E36" s="187"/>
      <c r="F36" s="187"/>
      <c r="G36" s="205">
        <f t="shared" ref="G36:G45" si="23">SUM(C36:F36)</f>
        <v>0</v>
      </c>
      <c r="H36" s="187"/>
      <c r="I36" s="187"/>
      <c r="J36" s="205">
        <f t="shared" ref="J36:J41" si="24">SUM(H36:I36)</f>
        <v>0</v>
      </c>
      <c r="K36" s="212">
        <f t="shared" si="22"/>
        <v>0</v>
      </c>
      <c r="L36" s="1096"/>
      <c r="M36" s="187"/>
    </row>
    <row r="37" spans="1:13">
      <c r="A37" s="105"/>
      <c r="B37" s="282" t="s">
        <v>461</v>
      </c>
      <c r="C37" s="187"/>
      <c r="D37" s="187"/>
      <c r="E37" s="187"/>
      <c r="F37" s="187"/>
      <c r="G37" s="205">
        <f t="shared" si="23"/>
        <v>0</v>
      </c>
      <c r="H37" s="187"/>
      <c r="I37" s="187"/>
      <c r="J37" s="205">
        <f t="shared" si="24"/>
        <v>0</v>
      </c>
      <c r="K37" s="212">
        <f t="shared" si="22"/>
        <v>0</v>
      </c>
      <c r="L37" s="1096"/>
      <c r="M37" s="187"/>
    </row>
    <row r="38" spans="1:13" s="87" customFormat="1">
      <c r="A38" s="282"/>
      <c r="B38" s="282" t="s">
        <v>462</v>
      </c>
      <c r="C38" s="88"/>
      <c r="D38" s="88"/>
      <c r="E38" s="88"/>
      <c r="F38" s="88"/>
      <c r="G38" s="205">
        <f t="shared" si="23"/>
        <v>0</v>
      </c>
      <c r="H38" s="88"/>
      <c r="I38" s="88"/>
      <c r="J38" s="205">
        <f t="shared" si="24"/>
        <v>0</v>
      </c>
      <c r="K38" s="212">
        <f t="shared" si="22"/>
        <v>0</v>
      </c>
      <c r="L38" s="1096"/>
      <c r="M38" s="88"/>
    </row>
    <row r="39" spans="1:13" s="87" customFormat="1">
      <c r="A39" s="282"/>
      <c r="B39" s="105" t="s">
        <v>133</v>
      </c>
      <c r="C39" s="88"/>
      <c r="D39" s="88"/>
      <c r="E39" s="88"/>
      <c r="F39" s="88"/>
      <c r="G39" s="205">
        <f t="shared" si="23"/>
        <v>0</v>
      </c>
      <c r="H39" s="88"/>
      <c r="I39" s="88"/>
      <c r="J39" s="205">
        <f t="shared" si="24"/>
        <v>0</v>
      </c>
      <c r="K39" s="212">
        <f t="shared" si="22"/>
        <v>0</v>
      </c>
      <c r="L39" s="1096"/>
      <c r="M39" s="88"/>
    </row>
    <row r="40" spans="1:13" s="87" customFormat="1">
      <c r="A40" s="282"/>
      <c r="B40" s="105" t="s">
        <v>103</v>
      </c>
      <c r="C40" s="88"/>
      <c r="D40" s="88"/>
      <c r="E40" s="88"/>
      <c r="F40" s="88"/>
      <c r="G40" s="205">
        <f t="shared" si="23"/>
        <v>0</v>
      </c>
      <c r="H40" s="88"/>
      <c r="I40" s="88"/>
      <c r="J40" s="205">
        <f t="shared" si="24"/>
        <v>0</v>
      </c>
      <c r="K40" s="212">
        <f t="shared" si="22"/>
        <v>0</v>
      </c>
      <c r="L40" s="1096"/>
      <c r="M40" s="88"/>
    </row>
    <row r="41" spans="1:13" s="87" customFormat="1">
      <c r="A41" s="282"/>
      <c r="B41" s="88" t="s">
        <v>358</v>
      </c>
      <c r="C41" s="88"/>
      <c r="D41" s="88"/>
      <c r="E41" s="88"/>
      <c r="F41" s="88"/>
      <c r="G41" s="205">
        <f t="shared" si="23"/>
        <v>0</v>
      </c>
      <c r="H41" s="88"/>
      <c r="I41" s="88"/>
      <c r="J41" s="205">
        <f t="shared" si="24"/>
        <v>0</v>
      </c>
      <c r="K41" s="212">
        <f t="shared" si="22"/>
        <v>0</v>
      </c>
      <c r="L41" s="1096"/>
      <c r="M41" s="88"/>
    </row>
    <row r="42" spans="1:13" s="87" customFormat="1" ht="9" customHeight="1">
      <c r="A42" s="100"/>
      <c r="B42" s="88" t="s">
        <v>89</v>
      </c>
      <c r="C42" s="88">
        <f>'вспом. план'!AC69</f>
        <v>22.282879253248886</v>
      </c>
      <c r="D42" s="88">
        <f>'вспом. план'!AC70</f>
        <v>2256.6267006843686</v>
      </c>
      <c r="E42" s="88">
        <f>'вспом. план'!AC71</f>
        <v>580.37702805884567</v>
      </c>
      <c r="F42" s="88">
        <f>'вспом. план'!AC72</f>
        <v>3733.9602326618451</v>
      </c>
      <c r="G42" s="205">
        <f t="shared" si="23"/>
        <v>6593.2468406583084</v>
      </c>
      <c r="H42" s="88">
        <f>'вспом. план'!AC74</f>
        <v>1002.1408138915692</v>
      </c>
      <c r="I42" s="88">
        <f>'вспом. план'!AC75</f>
        <v>7660.1067244813112</v>
      </c>
      <c r="J42" s="205">
        <f t="shared" ref="J42" si="25">SUM(H42:I42)</f>
        <v>8662.2475383728797</v>
      </c>
      <c r="K42" s="212">
        <f t="shared" ref="K42" si="26">G42+J42</f>
        <v>15255.494379031188</v>
      </c>
      <c r="L42" s="1096"/>
      <c r="M42" s="88">
        <f>'вспом. план'!AC78</f>
        <v>17717.273435739691</v>
      </c>
    </row>
    <row r="43" spans="1:13" ht="9" customHeight="1" thickBot="1">
      <c r="A43" s="102"/>
      <c r="B43" s="187" t="s">
        <v>107</v>
      </c>
      <c r="C43" s="176">
        <f>'вспом. план'!$AF$69</f>
        <v>69.338777133591734</v>
      </c>
      <c r="D43" s="176">
        <f>'вспом. план'!$AF$70</f>
        <v>2106.9902172495176</v>
      </c>
      <c r="E43" s="176">
        <f>'вспом. план'!$AF$71</f>
        <v>1475.0790620245307</v>
      </c>
      <c r="F43" s="176">
        <f>'вспом. план'!$AF$72</f>
        <v>4181.9896196707186</v>
      </c>
      <c r="G43" s="205">
        <f t="shared" si="23"/>
        <v>7833.3976760783589</v>
      </c>
      <c r="H43" s="176">
        <f>'вспом. план'!$AF$74</f>
        <v>1628.2320908097786</v>
      </c>
      <c r="I43" s="176">
        <f>'вспом. план'!$AF$75</f>
        <v>6499.3959926479511</v>
      </c>
      <c r="J43" s="205">
        <f t="shared" ref="J43" si="27">SUM(H43:I43)</f>
        <v>8127.6280834577301</v>
      </c>
      <c r="K43" s="212">
        <f t="shared" ref="K43" si="28">G43+J43</f>
        <v>15961.025759536089</v>
      </c>
      <c r="L43" s="1096"/>
      <c r="M43" s="88">
        <f>'произв. план'!I64</f>
        <v>0</v>
      </c>
    </row>
    <row r="44" spans="1:13" s="87" customFormat="1" ht="9" customHeight="1">
      <c r="A44" s="107"/>
      <c r="B44" s="280" t="s">
        <v>108</v>
      </c>
      <c r="C44" s="280">
        <f t="shared" ref="C44:K44" si="29">C34+C35+C42+C43</f>
        <v>648.58257792584743</v>
      </c>
      <c r="D44" s="280">
        <f t="shared" si="29"/>
        <v>26626.533780926355</v>
      </c>
      <c r="E44" s="280">
        <f t="shared" si="29"/>
        <v>10003.526069560117</v>
      </c>
      <c r="F44" s="280">
        <f t="shared" si="29"/>
        <v>15980.40705049477</v>
      </c>
      <c r="G44" s="280">
        <f t="shared" si="29"/>
        <v>53259.04947890708</v>
      </c>
      <c r="H44" s="280">
        <f t="shared" si="29"/>
        <v>9123.4357908030543</v>
      </c>
      <c r="I44" s="280">
        <f t="shared" si="29"/>
        <v>55824.361851608628</v>
      </c>
      <c r="J44" s="280">
        <f t="shared" si="29"/>
        <v>64947.797642411679</v>
      </c>
      <c r="K44" s="280">
        <f t="shared" si="29"/>
        <v>118206.84712131879</v>
      </c>
      <c r="L44" s="284"/>
      <c r="M44" s="284">
        <f>M34+M35+M42+M43</f>
        <v>130050.48571503471</v>
      </c>
    </row>
    <row r="45" spans="1:13" ht="9" customHeight="1" thickBot="1">
      <c r="A45" s="105"/>
      <c r="B45" s="186" t="s">
        <v>110</v>
      </c>
      <c r="C45" s="176">
        <f>'[1]затраты св-во шув-2'!C45</f>
        <v>32.323452895649176</v>
      </c>
      <c r="D45" s="176">
        <f>'[1]затраты св-во шув-2'!D45</f>
        <v>864.69085783515231</v>
      </c>
      <c r="E45" s="176">
        <f>'[1]затраты св-во шув-2'!E45</f>
        <v>683.07390267878236</v>
      </c>
      <c r="F45" s="176">
        <f>'[1]затраты св-во шув-2'!F45</f>
        <v>1589.0814396694329</v>
      </c>
      <c r="G45" s="205">
        <f t="shared" si="23"/>
        <v>3169.1696530790168</v>
      </c>
      <c r="H45" s="176">
        <f>'[1]затраты св-во шув-2'!H45</f>
        <v>665.65040318872298</v>
      </c>
      <c r="I45" s="176">
        <f>'[1]затраты св-во шув-2'!I45</f>
        <v>2664.5677111670161</v>
      </c>
      <c r="J45" s="205">
        <f t="shared" ref="J45" si="30">SUM(H45:I45)</f>
        <v>3330.2181143557391</v>
      </c>
      <c r="K45" s="212">
        <f t="shared" ref="K45" si="31">G45+J45</f>
        <v>6499.3877674347559</v>
      </c>
      <c r="L45" s="1096"/>
      <c r="M45" s="176">
        <f>'[1]затраты св-во шув-2'!M45</f>
        <v>7101.342039694272</v>
      </c>
    </row>
    <row r="46" spans="1:13" s="87" customFormat="1" ht="9" customHeight="1" outlineLevel="1" thickBot="1">
      <c r="A46" s="177"/>
      <c r="B46" s="283" t="s">
        <v>112</v>
      </c>
      <c r="C46" s="283">
        <f>C44+C45</f>
        <v>680.90603082149664</v>
      </c>
      <c r="D46" s="283">
        <f t="shared" ref="D46:K46" si="32">D44+D45</f>
        <v>27491.224638761509</v>
      </c>
      <c r="E46" s="283">
        <f t="shared" si="32"/>
        <v>10686.599972238899</v>
      </c>
      <c r="F46" s="283">
        <f t="shared" si="32"/>
        <v>17569.488490164204</v>
      </c>
      <c r="G46" s="283">
        <f t="shared" si="32"/>
        <v>56428.219131986094</v>
      </c>
      <c r="H46" s="283">
        <f t="shared" si="32"/>
        <v>9789.0861939917777</v>
      </c>
      <c r="I46" s="283">
        <f t="shared" si="32"/>
        <v>58488.929562775644</v>
      </c>
      <c r="J46" s="283">
        <f t="shared" si="32"/>
        <v>68278.015756767418</v>
      </c>
      <c r="K46" s="283">
        <f t="shared" si="32"/>
        <v>124706.23488875355</v>
      </c>
      <c r="L46" s="284"/>
      <c r="M46" s="284">
        <f>M44+M45</f>
        <v>137151.82775472899</v>
      </c>
    </row>
    <row r="47" spans="1:13" s="87" customFormat="1" ht="16.5" customHeight="1" outlineLevel="1" thickBot="1">
      <c r="A47" s="177"/>
      <c r="B47" s="284" t="s">
        <v>329</v>
      </c>
      <c r="C47" s="284"/>
      <c r="D47" s="284"/>
      <c r="E47" s="284"/>
      <c r="F47" s="284"/>
      <c r="G47" s="205">
        <f>SUM(C47:F47)</f>
        <v>0</v>
      </c>
      <c r="H47" s="284"/>
      <c r="I47" s="284"/>
      <c r="J47" s="205">
        <f>SUM(H47:I47)</f>
        <v>0</v>
      </c>
      <c r="K47" s="205">
        <f>SUM(I47:J47)</f>
        <v>0</v>
      </c>
      <c r="L47" s="187"/>
      <c r="M47" s="284"/>
    </row>
    <row r="48" spans="1:13" s="87" customFormat="1" ht="9" customHeight="1" thickBot="1">
      <c r="A48" s="177"/>
      <c r="B48" s="283" t="s">
        <v>330</v>
      </c>
      <c r="C48" s="283">
        <f>C46-C47</f>
        <v>680.90603082149664</v>
      </c>
      <c r="D48" s="283">
        <f t="shared" ref="D48:K48" si="33">D46-D47</f>
        <v>27491.224638761509</v>
      </c>
      <c r="E48" s="283">
        <f t="shared" si="33"/>
        <v>10686.599972238899</v>
      </c>
      <c r="F48" s="283">
        <f t="shared" si="33"/>
        <v>17569.488490164204</v>
      </c>
      <c r="G48" s="283">
        <f>G46-G47</f>
        <v>56428.219131986094</v>
      </c>
      <c r="H48" s="283">
        <f>H46-H47</f>
        <v>9789.0861939917777</v>
      </c>
      <c r="I48" s="283">
        <f>I46-I47</f>
        <v>58488.929562775644</v>
      </c>
      <c r="J48" s="283">
        <f>J46-J47</f>
        <v>68278.015756767418</v>
      </c>
      <c r="K48" s="283">
        <f t="shared" si="33"/>
        <v>124706.23488875355</v>
      </c>
      <c r="L48" s="284"/>
      <c r="M48" s="284">
        <f>M46-M47</f>
        <v>137151.82775472899</v>
      </c>
    </row>
    <row r="49" spans="1:13" s="87" customFormat="1" ht="12.75" customHeight="1" outlineLevel="1" thickBot="1">
      <c r="A49" s="103"/>
      <c r="B49" s="284" t="s">
        <v>109</v>
      </c>
      <c r="C49" s="188"/>
      <c r="D49" s="188"/>
      <c r="E49" s="188"/>
      <c r="F49" s="188">
        <f t="shared" ref="F49:K49" si="34">F48/F4</f>
        <v>92.681251667805753</v>
      </c>
      <c r="G49" s="188">
        <f t="shared" si="34"/>
        <v>239.83293505267946</v>
      </c>
      <c r="H49" s="188">
        <f t="shared" si="34"/>
        <v>146.39418247879073</v>
      </c>
      <c r="I49" s="188">
        <f t="shared" si="34"/>
        <v>67.005029043744116</v>
      </c>
      <c r="J49" s="188">
        <f t="shared" si="34"/>
        <v>69.673963043595236</v>
      </c>
      <c r="K49" s="188">
        <f t="shared" si="34"/>
        <v>102.61810473137547</v>
      </c>
      <c r="L49" s="188"/>
      <c r="M49" s="188">
        <f>M48/M4</f>
        <v>88.038756714906356</v>
      </c>
    </row>
    <row r="50" spans="1:13" ht="9" customHeight="1" outlineLevel="1" thickBot="1">
      <c r="A50" s="105"/>
      <c r="B50" s="186" t="s">
        <v>357</v>
      </c>
      <c r="C50" s="281">
        <f t="shared" ref="C50:K50" si="35">C48/C3*1000</f>
        <v>227.04435839329665</v>
      </c>
      <c r="D50" s="281">
        <f t="shared" si="35"/>
        <v>84.670579096820177</v>
      </c>
      <c r="E50" s="281">
        <f t="shared" si="35"/>
        <v>128.19125613707152</v>
      </c>
      <c r="F50" s="281">
        <f t="shared" si="35"/>
        <v>19.573695985876451</v>
      </c>
      <c r="G50" s="281">
        <f t="shared" si="35"/>
        <v>43.119244430397352</v>
      </c>
      <c r="H50" s="281">
        <f t="shared" si="35"/>
        <v>63.947727775383242</v>
      </c>
      <c r="I50" s="281">
        <f t="shared" si="35"/>
        <v>37.770538877859302</v>
      </c>
      <c r="J50" s="281">
        <f t="shared" si="35"/>
        <v>40.125476184814985</v>
      </c>
      <c r="K50" s="281">
        <f t="shared" si="35"/>
        <v>41.426958470278549</v>
      </c>
      <c r="L50" s="281"/>
      <c r="M50" s="281">
        <f>M48/M3*1000</f>
        <v>64.565385408765707</v>
      </c>
    </row>
    <row r="51" spans="1:13" ht="8.25" customHeight="1" outlineLevel="1" thickBot="1">
      <c r="A51" s="178"/>
      <c r="B51" s="88" t="s">
        <v>331</v>
      </c>
      <c r="C51" s="88"/>
      <c r="D51" s="88"/>
      <c r="E51" s="88"/>
      <c r="F51" s="88"/>
      <c r="G51" s="88"/>
      <c r="H51" s="88"/>
      <c r="I51" s="187"/>
      <c r="J51" s="187"/>
      <c r="K51" s="217"/>
      <c r="L51" s="187"/>
      <c r="M51" s="187"/>
    </row>
    <row r="52" spans="1:13" s="87" customFormat="1" ht="9" customHeight="1" outlineLevel="1">
      <c r="A52" s="109"/>
      <c r="B52" s="189" t="s">
        <v>136</v>
      </c>
      <c r="C52" s="189"/>
      <c r="D52" s="189"/>
      <c r="E52" s="189"/>
      <c r="F52" s="189"/>
      <c r="G52" s="218"/>
      <c r="H52" s="189"/>
      <c r="I52" s="189"/>
      <c r="J52" s="218"/>
      <c r="K52" s="216"/>
      <c r="L52" s="88"/>
      <c r="M52" s="88"/>
    </row>
    <row r="53" spans="1:13" ht="9" customHeight="1" outlineLevel="1"/>
    <row r="54" spans="1:13" ht="9" customHeight="1" outlineLevel="1"/>
    <row r="55" spans="1:13" ht="13.5" customHeight="1" outlineLevel="1">
      <c r="B55" s="85" t="s">
        <v>359</v>
      </c>
      <c r="C55" s="85">
        <f>C34-C8-C11-C14+C42</f>
        <v>181.73132079225564</v>
      </c>
      <c r="D55" s="85">
        <f>D34-D8-D11-D14+D42</f>
        <v>5473.2910460768417</v>
      </c>
      <c r="E55" s="85">
        <f>E34-E8-E11-E14+E42</f>
        <v>3862.7026715355873</v>
      </c>
      <c r="F55" s="85">
        <f>F34-F8-F11-F14+F42</f>
        <v>10790.365591464051</v>
      </c>
      <c r="G55" s="205">
        <f>SUM(C55:F55)</f>
        <v>20308.090629868733</v>
      </c>
      <c r="H55" s="85">
        <f>H34-H8-H11-H14+H42</f>
        <v>4221.7516719932746</v>
      </c>
      <c r="I55" s="85">
        <f>I34-I8-I11-I14+I42</f>
        <v>16899.611917169175</v>
      </c>
      <c r="J55" s="205">
        <f>SUM(H55:I55)</f>
        <v>21121.363589162451</v>
      </c>
      <c r="K55" s="85">
        <f>G55+J55</f>
        <v>41429.454219031184</v>
      </c>
      <c r="M55" s="85">
        <f>M34-M8-M11-M14+M42</f>
        <v>46064.743515739719</v>
      </c>
    </row>
    <row r="56" spans="1:13" ht="9" customHeight="1" outlineLevel="1"/>
    <row r="57" spans="1:13" ht="9" customHeight="1" outlineLevel="1"/>
    <row r="58" spans="1:13" ht="9" customHeight="1" outlineLevel="1"/>
    <row r="59" spans="1:13" ht="9" customHeight="1" outlineLevel="1"/>
    <row r="60" spans="1:13" ht="9" customHeight="1"/>
    <row r="61" spans="1:13" ht="9" customHeight="1"/>
    <row r="62" spans="1:13" ht="9" customHeight="1"/>
    <row r="63" spans="1:13" ht="9" customHeight="1"/>
    <row r="64" spans="1:13" ht="9" customHeight="1"/>
    <row r="65" ht="9" customHeight="1"/>
    <row r="66" ht="9" customHeight="1"/>
    <row r="67" ht="9" customHeight="1"/>
    <row r="68" ht="9" customHeight="1"/>
    <row r="69" ht="9" customHeight="1"/>
    <row r="70" ht="9" customHeight="1"/>
    <row r="71" ht="9" customHeight="1"/>
    <row r="72" ht="10.5" customHeight="1"/>
    <row r="73" ht="11.25" customHeight="1"/>
    <row r="74" ht="10.5" customHeight="1"/>
    <row r="75" ht="9" customHeight="1"/>
    <row r="76" ht="9" customHeight="1"/>
    <row r="77" ht="9" customHeight="1"/>
    <row r="78" ht="9" customHeight="1"/>
    <row r="79" ht="9" customHeight="1"/>
    <row r="80" ht="9" customHeight="1"/>
    <row r="81" ht="9" customHeight="1"/>
    <row r="82" ht="9" customHeight="1"/>
    <row r="83" ht="9" customHeight="1"/>
    <row r="84" ht="9" customHeight="1"/>
    <row r="85" ht="9" customHeight="1"/>
    <row r="86" ht="9" customHeight="1"/>
    <row r="87" ht="9" customHeight="1"/>
    <row r="88" ht="9" customHeight="1"/>
    <row r="89" ht="9" customHeight="1"/>
    <row r="90" ht="9" customHeight="1"/>
    <row r="91" ht="9" customHeight="1"/>
    <row r="92" ht="9" customHeight="1"/>
    <row r="93" ht="9" customHeight="1"/>
    <row r="94" ht="9" customHeight="1"/>
    <row r="95" ht="9" customHeight="1"/>
    <row r="96" ht="9" customHeight="1"/>
    <row r="97" ht="9" customHeight="1"/>
    <row r="98" ht="9" customHeight="1"/>
    <row r="99" ht="9" customHeight="1"/>
    <row r="100" ht="9" customHeight="1"/>
    <row r="101" ht="9" customHeight="1"/>
    <row r="102" ht="9" customHeight="1"/>
    <row r="103" ht="9" customHeight="1"/>
    <row r="104" ht="9" customHeight="1"/>
    <row r="105" ht="9" customHeight="1"/>
    <row r="106" ht="9" customHeight="1"/>
    <row r="107" ht="9" customHeight="1"/>
    <row r="108" ht="9" customHeight="1"/>
    <row r="109" ht="9" customHeight="1"/>
    <row r="110" ht="9" customHeight="1"/>
    <row r="111" ht="9" customHeight="1"/>
    <row r="112" ht="9" customHeight="1"/>
    <row r="113" ht="9" customHeight="1"/>
    <row r="114" ht="9" customHeight="1"/>
    <row r="115" ht="9" customHeight="1"/>
    <row r="116" ht="9" customHeight="1"/>
    <row r="117" ht="9" customHeight="1"/>
    <row r="118" ht="9" customHeight="1"/>
    <row r="119" ht="9" customHeight="1"/>
    <row r="120" ht="9" customHeight="1"/>
    <row r="121" ht="9" customHeight="1"/>
    <row r="122" ht="9" customHeight="1"/>
    <row r="123" ht="9" customHeight="1"/>
    <row r="124" ht="9" customHeight="1"/>
    <row r="125" ht="9" customHeight="1"/>
    <row r="126" ht="9" customHeight="1"/>
    <row r="127" ht="9" customHeight="1"/>
    <row r="128" ht="9" customHeight="1"/>
    <row r="129" ht="9" customHeight="1"/>
    <row r="130" ht="9" customHeight="1"/>
    <row r="131" ht="9" customHeight="1"/>
    <row r="132" ht="9" customHeight="1"/>
    <row r="133" ht="9" customHeight="1"/>
    <row r="134" ht="9" customHeight="1"/>
    <row r="135" ht="9" customHeight="1"/>
    <row r="136" ht="9" customHeight="1"/>
    <row r="137" ht="9" customHeight="1"/>
    <row r="138" ht="9" customHeight="1"/>
    <row r="139" ht="9" customHeight="1"/>
    <row r="140" ht="9" customHeight="1"/>
    <row r="141" ht="9" customHeight="1"/>
    <row r="142" ht="9" customHeight="1"/>
    <row r="143" ht="9" customHeight="1"/>
    <row r="144" ht="9" customHeight="1"/>
    <row r="145" ht="9" customHeight="1"/>
    <row r="146" ht="9" customHeight="1"/>
    <row r="147" ht="9" customHeight="1"/>
    <row r="148" ht="9" customHeight="1"/>
    <row r="149" ht="9" customHeight="1"/>
    <row r="150" ht="9" customHeight="1"/>
    <row r="151" ht="9" customHeight="1"/>
    <row r="152" ht="9" customHeight="1"/>
    <row r="153" ht="9" customHeight="1"/>
    <row r="154" ht="9" customHeight="1"/>
    <row r="155" ht="9" customHeight="1"/>
    <row r="156" ht="9" customHeight="1"/>
    <row r="157" ht="9" customHeight="1"/>
    <row r="158" ht="9" customHeight="1"/>
    <row r="159" ht="9" customHeight="1"/>
    <row r="160" ht="9" customHeight="1"/>
    <row r="161" ht="9" customHeight="1"/>
    <row r="162" ht="9" customHeight="1"/>
    <row r="163" ht="9" customHeight="1"/>
    <row r="164" ht="9" customHeight="1"/>
    <row r="165" ht="9" customHeight="1"/>
    <row r="166" ht="9" customHeight="1"/>
    <row r="167" ht="9" customHeight="1"/>
    <row r="168" ht="9" customHeight="1"/>
    <row r="169" ht="9" customHeight="1"/>
    <row r="170" ht="9" customHeight="1"/>
    <row r="171" ht="9" customHeight="1"/>
    <row r="172" ht="9" customHeight="1"/>
    <row r="173" ht="9" customHeight="1"/>
    <row r="174" ht="9" customHeight="1"/>
    <row r="175" ht="9" customHeight="1"/>
    <row r="176" ht="9" customHeight="1"/>
    <row r="177" ht="9" customHeight="1"/>
    <row r="178" ht="9" customHeight="1"/>
    <row r="179" ht="9" customHeight="1"/>
    <row r="180" ht="9" customHeight="1"/>
    <row r="181" ht="9" customHeight="1"/>
    <row r="182" ht="9" customHeight="1"/>
    <row r="183" ht="9" customHeight="1"/>
    <row r="184" ht="9" customHeight="1"/>
    <row r="185" ht="9" customHeight="1"/>
    <row r="186" ht="9" customHeight="1"/>
    <row r="187" ht="9" customHeight="1"/>
    <row r="188" ht="9" customHeight="1"/>
    <row r="189" ht="9" customHeight="1"/>
    <row r="190" ht="9" customHeight="1"/>
    <row r="191" ht="9" customHeight="1"/>
    <row r="192" ht="9" customHeight="1"/>
    <row r="193" ht="9" customHeight="1"/>
    <row r="194" ht="9" customHeight="1"/>
    <row r="195" ht="9" customHeight="1"/>
    <row r="196" ht="9" customHeight="1"/>
    <row r="197" ht="9" customHeight="1"/>
  </sheetData>
  <mergeCells count="1">
    <mergeCell ref="C6:K6"/>
  </mergeCells>
  <pageMargins left="0.15748031496062992" right="0.19685039370078741" top="0.55118110236220474" bottom="0.35433070866141736" header="0.31496062992125984" footer="0.31496062992125984"/>
  <pageSetup paperSize="9" orientation="landscape" r:id="rId1"/>
  <headerFooter>
    <oddHeader>&amp;C&amp;F Шувалово-2,3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7">
    <tabColor rgb="FFFFFF00"/>
  </sheetPr>
  <dimension ref="A1:G72"/>
  <sheetViews>
    <sheetView topLeftCell="A37" workbookViewId="0">
      <selection activeCell="B62" sqref="B62"/>
    </sheetView>
  </sheetViews>
  <sheetFormatPr defaultRowHeight="10.5" customHeight="1"/>
  <cols>
    <col min="1" max="1" width="35.7109375" style="9" customWidth="1"/>
    <col min="2" max="7" width="10.7109375" style="9" customWidth="1"/>
    <col min="8" max="16384" width="9.140625" style="9"/>
  </cols>
  <sheetData>
    <row r="1" spans="1:7" ht="10.5" customHeight="1" thickBot="1">
      <c r="A1" s="6" t="s">
        <v>667</v>
      </c>
      <c r="B1" s="6"/>
      <c r="C1" s="7"/>
      <c r="D1" s="8"/>
      <c r="E1" s="8"/>
      <c r="F1" s="8"/>
      <c r="G1" s="8"/>
    </row>
    <row r="2" spans="1:7" ht="12" customHeight="1" thickBot="1">
      <c r="A2" s="11" t="s">
        <v>90</v>
      </c>
      <c r="B2" s="2284">
        <f>('[3]Скот убой '!$C$55+'[3]Скот убой '!$C$77+'[4]Скот убой '!$C$55+'[4]Скот убой '!$C$77)/1000</f>
        <v>4401.5731779419675</v>
      </c>
      <c r="C2" s="2285">
        <f>('[3]Жиловка КРС'!$C$19+'[3]общая жиловка свинины'!$C$25+'[4]Жиловка КРС'!$C$19+'[4]общая жиловка свинины'!$C$25)/1000</f>
        <v>1027.0087086389217</v>
      </c>
      <c r="D2" s="2286">
        <f>реал!D5</f>
        <v>1266.9679999999998</v>
      </c>
      <c r="E2" s="2287">
        <f>реал!D35</f>
        <v>169.64999999999998</v>
      </c>
      <c r="F2" s="31"/>
      <c r="G2" s="32"/>
    </row>
    <row r="3" spans="1:7" ht="12" customHeight="1" thickBot="1">
      <c r="A3" s="11" t="s">
        <v>91</v>
      </c>
      <c r="B3" s="2288"/>
      <c r="C3" s="2285"/>
      <c r="D3" s="2289"/>
      <c r="E3" s="2287"/>
      <c r="F3" s="31"/>
      <c r="G3" s="32"/>
    </row>
    <row r="4" spans="1:7" ht="10.5" customHeight="1" thickBot="1">
      <c r="A4" s="10" t="s">
        <v>17</v>
      </c>
      <c r="B4" s="33"/>
      <c r="C4" s="34"/>
      <c r="D4" s="35">
        <f>D3-D2</f>
        <v>-1266.9679999999998</v>
      </c>
      <c r="E4" s="34"/>
      <c r="F4" s="36"/>
      <c r="G4" s="34"/>
    </row>
    <row r="5" spans="1:7" ht="28.5" customHeight="1" thickBot="1">
      <c r="A5" s="10" t="s">
        <v>58</v>
      </c>
      <c r="B5" s="10" t="s">
        <v>92</v>
      </c>
      <c r="C5" s="37" t="s">
        <v>93</v>
      </c>
      <c r="D5" s="38" t="s">
        <v>94</v>
      </c>
      <c r="E5" s="37" t="s">
        <v>687</v>
      </c>
      <c r="F5" s="38" t="s">
        <v>95</v>
      </c>
      <c r="G5" s="37" t="s">
        <v>96</v>
      </c>
    </row>
    <row r="6" spans="1:7" ht="10.5" customHeight="1" thickBot="1">
      <c r="A6" s="12" t="s">
        <v>60</v>
      </c>
      <c r="B6" s="13">
        <f>B7+B10+B13+B16+B19+B20+B23+B24</f>
        <v>52000.660196986777</v>
      </c>
      <c r="C6" s="13">
        <f>C7+C10+C13+C16+C19+C20+C23+C24</f>
        <v>0</v>
      </c>
      <c r="D6" s="13">
        <f>D7+D10+D13+D16+D19+D20+D23+D24</f>
        <v>33281.737426592088</v>
      </c>
      <c r="E6" s="13">
        <f>E7+E10+E13+E16+E19+E20+E23+E24</f>
        <v>2359</v>
      </c>
      <c r="F6" s="13">
        <f>F7+F10+F13+F16+F19+F20+F23+F24</f>
        <v>0</v>
      </c>
      <c r="G6" s="39">
        <f>SUM(B6:F6)</f>
        <v>87641.397623578872</v>
      </c>
    </row>
    <row r="7" spans="1:7" ht="10.5" customHeight="1">
      <c r="A7" s="1567" t="s">
        <v>504</v>
      </c>
      <c r="B7" s="40"/>
      <c r="C7" s="1569"/>
      <c r="D7" s="40"/>
      <c r="E7" s="41"/>
      <c r="F7" s="40"/>
      <c r="G7" s="15">
        <f t="shared" ref="G7:G31" si="0">SUM(B7:F7)</f>
        <v>0</v>
      </c>
    </row>
    <row r="8" spans="1:7" ht="10.5" customHeight="1">
      <c r="A8" s="1568" t="s">
        <v>97</v>
      </c>
      <c r="B8" s="43"/>
      <c r="C8" s="42"/>
      <c r="D8" s="43"/>
      <c r="E8" s="41"/>
      <c r="F8" s="43"/>
      <c r="G8" s="17">
        <f t="shared" si="0"/>
        <v>0</v>
      </c>
    </row>
    <row r="9" spans="1:7" ht="10.5" customHeight="1">
      <c r="A9" s="1568" t="s">
        <v>98</v>
      </c>
      <c r="B9" s="43"/>
      <c r="C9" s="42"/>
      <c r="D9" s="43"/>
      <c r="E9" s="44" t="e">
        <f>E7/E8*1000</f>
        <v>#DIV/0!</v>
      </c>
      <c r="F9" s="43"/>
      <c r="G9" s="17" t="e">
        <f t="shared" si="0"/>
        <v>#DIV/0!</v>
      </c>
    </row>
    <row r="10" spans="1:7" ht="10.5" customHeight="1">
      <c r="A10" s="14" t="s">
        <v>66</v>
      </c>
      <c r="B10" s="2299">
        <f>'[1]пром.пр-во'!B10+'[2]пром.пр-во'!B10</f>
        <v>221</v>
      </c>
      <c r="C10" s="1570"/>
      <c r="D10" s="19"/>
      <c r="E10" s="18"/>
      <c r="F10" s="17"/>
      <c r="G10" s="17">
        <f t="shared" si="0"/>
        <v>221</v>
      </c>
    </row>
    <row r="11" spans="1:7" ht="10.5" customHeight="1">
      <c r="A11" s="16" t="s">
        <v>12</v>
      </c>
      <c r="B11" s="2299">
        <f>'[1]пром.пр-во'!B11+'[2]пром.пр-во'!B11</f>
        <v>17</v>
      </c>
      <c r="C11" s="1570"/>
      <c r="D11" s="19"/>
      <c r="E11" s="18"/>
      <c r="F11" s="17"/>
      <c r="G11" s="17">
        <f t="shared" si="0"/>
        <v>17</v>
      </c>
    </row>
    <row r="12" spans="1:7" ht="10.5" customHeight="1">
      <c r="A12" s="16" t="s">
        <v>63</v>
      </c>
      <c r="B12" s="1586">
        <f>B10/B11*1000</f>
        <v>13000</v>
      </c>
      <c r="C12" s="1571"/>
      <c r="D12" s="19"/>
      <c r="E12" s="18"/>
      <c r="F12" s="17"/>
      <c r="G12" s="17">
        <f t="shared" si="0"/>
        <v>13000</v>
      </c>
    </row>
    <row r="13" spans="1:7" ht="10.5" customHeight="1">
      <c r="A13" s="14" t="s">
        <v>67</v>
      </c>
      <c r="B13" s="17"/>
      <c r="C13" s="1570"/>
      <c r="D13" s="19"/>
      <c r="E13" s="18"/>
      <c r="F13" s="17"/>
      <c r="G13" s="17">
        <f t="shared" si="0"/>
        <v>0</v>
      </c>
    </row>
    <row r="14" spans="1:7" ht="10.5" customHeight="1">
      <c r="A14" s="16" t="s">
        <v>69</v>
      </c>
      <c r="B14" s="17"/>
      <c r="C14" s="1570"/>
      <c r="D14" s="19"/>
      <c r="E14" s="18"/>
      <c r="F14" s="17"/>
      <c r="G14" s="17">
        <f t="shared" si="0"/>
        <v>0</v>
      </c>
    </row>
    <row r="15" spans="1:7" ht="10.5" customHeight="1">
      <c r="A15" s="16" t="s">
        <v>63</v>
      </c>
      <c r="B15" s="17"/>
      <c r="C15" s="1570"/>
      <c r="D15" s="19"/>
      <c r="E15" s="46"/>
      <c r="F15" s="17"/>
      <c r="G15" s="17">
        <f t="shared" si="0"/>
        <v>0</v>
      </c>
    </row>
    <row r="16" spans="1:7" ht="10.5" customHeight="1">
      <c r="A16" s="14" t="s">
        <v>68</v>
      </c>
      <c r="B16" s="17"/>
      <c r="C16" s="1570"/>
      <c r="D16" s="19"/>
      <c r="E16" s="18"/>
      <c r="F16" s="17"/>
      <c r="G16" s="17">
        <f t="shared" si="0"/>
        <v>0</v>
      </c>
    </row>
    <row r="17" spans="1:7" ht="10.5" customHeight="1">
      <c r="A17" s="16" t="s">
        <v>69</v>
      </c>
      <c r="B17" s="17"/>
      <c r="C17" s="1570"/>
      <c r="D17" s="19"/>
      <c r="E17" s="18"/>
      <c r="F17" s="17"/>
      <c r="G17" s="17">
        <f t="shared" si="0"/>
        <v>0</v>
      </c>
    </row>
    <row r="18" spans="1:7" ht="10.5" customHeight="1">
      <c r="A18" s="16" t="s">
        <v>63</v>
      </c>
      <c r="B18" s="17"/>
      <c r="C18" s="1570"/>
      <c r="D18" s="19"/>
      <c r="E18" s="18"/>
      <c r="F18" s="17"/>
      <c r="G18" s="17">
        <f t="shared" si="0"/>
        <v>0</v>
      </c>
    </row>
    <row r="19" spans="1:7" ht="10.5" customHeight="1">
      <c r="A19" s="966" t="s">
        <v>70</v>
      </c>
      <c r="B19" s="2299">
        <f>'[1]пром.пр-во'!B19+'[2]пром.пр-во'!B19</f>
        <v>43</v>
      </c>
      <c r="C19" s="1570"/>
      <c r="D19" s="19"/>
      <c r="E19" s="18"/>
      <c r="F19" s="17"/>
      <c r="G19" s="17">
        <f t="shared" si="0"/>
        <v>43</v>
      </c>
    </row>
    <row r="20" spans="1:7" ht="10.5" customHeight="1">
      <c r="A20" s="14" t="s">
        <v>99</v>
      </c>
      <c r="B20" s="2299">
        <f>'[1]пром.пр-во'!B20+'[2]пром.пр-во'!B20</f>
        <v>50558.289916986774</v>
      </c>
      <c r="C20" s="1570"/>
      <c r="D20" s="19"/>
      <c r="E20" s="18"/>
      <c r="F20" s="17"/>
      <c r="G20" s="17">
        <f t="shared" si="0"/>
        <v>50558.289916986774</v>
      </c>
    </row>
    <row r="21" spans="1:7" ht="10.5" customHeight="1">
      <c r="A21" s="16" t="s">
        <v>12</v>
      </c>
      <c r="B21" s="2299">
        <f>'[1]пром.пр-во'!B21+'[2]пром.пр-во'!B21</f>
        <v>532.19252544196604</v>
      </c>
      <c r="C21" s="1570"/>
      <c r="D21" s="19"/>
      <c r="E21" s="18"/>
      <c r="F21" s="17"/>
      <c r="G21" s="17">
        <f t="shared" si="0"/>
        <v>532.19252544196604</v>
      </c>
    </row>
    <row r="22" spans="1:7" s="457" customFormat="1" ht="10.5" customHeight="1">
      <c r="A22" s="452" t="s">
        <v>63</v>
      </c>
      <c r="B22" s="1586">
        <f>B20/B21*1000</f>
        <v>95000</v>
      </c>
      <c r="C22" s="1572"/>
      <c r="D22" s="454"/>
      <c r="E22" s="455"/>
      <c r="F22" s="456"/>
      <c r="G22" s="453">
        <f>G20/G21*1000</f>
        <v>95000</v>
      </c>
    </row>
    <row r="23" spans="1:7" s="459" customFormat="1" ht="10.5" customHeight="1">
      <c r="A23" s="458" t="s">
        <v>100</v>
      </c>
      <c r="B23" s="438"/>
      <c r="C23" s="1573"/>
      <c r="D23" s="2299">
        <f>'[1]пром.пр-во'!D23+'[2]пром.пр-во'!D23</f>
        <v>30759.985471064891</v>
      </c>
      <c r="E23" s="2299">
        <f>'[1]пром.пр-во'!E23+'[2]пром.пр-во'!E23</f>
        <v>1279</v>
      </c>
      <c r="F23" s="438"/>
      <c r="G23" s="438">
        <f t="shared" si="0"/>
        <v>32038.985471064891</v>
      </c>
    </row>
    <row r="24" spans="1:7" s="459" customFormat="1" ht="10.5" customHeight="1">
      <c r="A24" s="458" t="s">
        <v>71</v>
      </c>
      <c r="B24" s="2299">
        <f>326.728+851.64228</f>
        <v>1178.3702800000001</v>
      </c>
      <c r="C24" s="1585">
        <f>'[1]пром.пр-во'!C24</f>
        <v>0</v>
      </c>
      <c r="D24" s="2299">
        <f>'[1]пром.пр-во'!D24+'[2]пром.пр-во'!D24</f>
        <v>2521.7519555271988</v>
      </c>
      <c r="E24" s="2299">
        <f>'[1]пром.пр-во'!E24+'[2]пром.пр-во'!E24</f>
        <v>1080</v>
      </c>
      <c r="F24" s="1585">
        <f>'[1]пром.пр-во'!F24</f>
        <v>0</v>
      </c>
      <c r="G24" s="703">
        <f t="shared" si="0"/>
        <v>4780.1222355271984</v>
      </c>
    </row>
    <row r="25" spans="1:7" s="717" customFormat="1" ht="10.5" customHeight="1">
      <c r="A25" s="715" t="s">
        <v>72</v>
      </c>
      <c r="B25" s="2299">
        <f>562.27434*12</f>
        <v>6747.2920800000011</v>
      </c>
      <c r="C25" s="1585">
        <f>'[1]пром.пр-во'!C25</f>
        <v>0</v>
      </c>
      <c r="D25" s="2299">
        <f>'[1]пром.пр-во'!D25+'[2]пром.пр-во'!D25</f>
        <v>4756.0236721965002</v>
      </c>
      <c r="E25" s="2299">
        <f>'[1]пром.пр-во'!E25+'[2]пром.пр-во'!E25</f>
        <v>445.09640999999999</v>
      </c>
      <c r="F25" s="1585">
        <f>'[1]пром.пр-во'!F25</f>
        <v>0</v>
      </c>
      <c r="G25" s="716">
        <f t="shared" si="0"/>
        <v>11948.412162196501</v>
      </c>
    </row>
    <row r="26" spans="1:7" s="462" customFormat="1" ht="10.5" customHeight="1">
      <c r="A26" s="460" t="s">
        <v>73</v>
      </c>
      <c r="B26" s="2299">
        <f>900*12*1.05</f>
        <v>11340</v>
      </c>
      <c r="C26" s="2299">
        <f>150*12</f>
        <v>1800</v>
      </c>
      <c r="D26" s="2299">
        <f>1300*12</f>
        <v>15600</v>
      </c>
      <c r="E26" s="2299">
        <f>130*12</f>
        <v>1560</v>
      </c>
      <c r="F26" s="1585">
        <f>'[1]пром.пр-во'!F26</f>
        <v>0</v>
      </c>
      <c r="G26" s="461">
        <f t="shared" si="0"/>
        <v>30300</v>
      </c>
    </row>
    <row r="27" spans="1:7" s="462" customFormat="1" ht="10.5" customHeight="1">
      <c r="A27" s="460" t="s">
        <v>74</v>
      </c>
      <c r="B27" s="1585">
        <f>B26*'вспом. план'!$M$1</f>
        <v>3538.08</v>
      </c>
      <c r="C27" s="1585">
        <f>C26*'вспом. план'!$M$1</f>
        <v>561.6</v>
      </c>
      <c r="D27" s="1585">
        <f>D26*'вспом. план'!$M$1</f>
        <v>4867.2</v>
      </c>
      <c r="E27" s="1585">
        <f>E26*'вспом. план'!$M$1</f>
        <v>486.72</v>
      </c>
      <c r="F27" s="1585">
        <f>F26*'вспом. план'!$M$1</f>
        <v>0</v>
      </c>
      <c r="G27" s="704">
        <f t="shared" si="0"/>
        <v>9453.6</v>
      </c>
    </row>
    <row r="28" spans="1:7" s="462" customFormat="1" ht="10.5" customHeight="1">
      <c r="A28" s="460" t="s">
        <v>75</v>
      </c>
      <c r="B28" s="461">
        <f>SUM(B29:B31)</f>
        <v>1500</v>
      </c>
      <c r="C28" s="1574">
        <f>SUM(C29:C31)</f>
        <v>0</v>
      </c>
      <c r="D28" s="449">
        <f>SUM(D29:D31)</f>
        <v>2643</v>
      </c>
      <c r="E28" s="448">
        <f>SUM(E29:E31)</f>
        <v>0</v>
      </c>
      <c r="F28" s="461">
        <f>SUM(F29:F31)</f>
        <v>0</v>
      </c>
      <c r="G28" s="461">
        <f t="shared" si="0"/>
        <v>4143</v>
      </c>
    </row>
    <row r="29" spans="1:7" s="459" customFormat="1" ht="10.5" customHeight="1">
      <c r="A29" s="463" t="s">
        <v>76</v>
      </c>
      <c r="B29" s="2299">
        <f>'[1]пром.пр-во'!B29+'[2]пром.пр-во'!B29</f>
        <v>1500</v>
      </c>
      <c r="C29" s="2299">
        <f>'[1]пром.пр-во'!C29+'[2]пром.пр-во'!C29</f>
        <v>0</v>
      </c>
      <c r="D29" s="2299">
        <f>'[1]пром.пр-во'!D29+'[2]пром.пр-во'!D29</f>
        <v>2643</v>
      </c>
      <c r="E29" s="2299">
        <f>'[1]пром.пр-во'!E29+'[2]пром.пр-во'!E29</f>
        <v>0</v>
      </c>
      <c r="F29" s="2299">
        <f>'[1]пром.пр-во'!F29+'[2]пром.пр-во'!F29</f>
        <v>0</v>
      </c>
      <c r="G29" s="438">
        <f t="shared" si="0"/>
        <v>4143</v>
      </c>
    </row>
    <row r="30" spans="1:7" ht="10.5" customHeight="1">
      <c r="A30" s="20" t="s">
        <v>77</v>
      </c>
      <c r="B30" s="17"/>
      <c r="C30" s="1570"/>
      <c r="D30" s="439"/>
      <c r="E30" s="18"/>
      <c r="F30" s="17"/>
      <c r="G30" s="17">
        <f t="shared" si="0"/>
        <v>0</v>
      </c>
    </row>
    <row r="31" spans="1:7" ht="15.75" customHeight="1">
      <c r="A31" s="21" t="s">
        <v>78</v>
      </c>
      <c r="B31" s="2299">
        <f>'[1]пром.пр-во'!B31+'[2]пром.пр-во'!B31</f>
        <v>0</v>
      </c>
      <c r="C31" s="2299">
        <f>'[1]пром.пр-во'!C31+'[2]пром.пр-во'!C31</f>
        <v>0</v>
      </c>
      <c r="D31" s="2299">
        <f>'[1]пром.пр-во'!D31+'[2]пром.пр-во'!D31</f>
        <v>0</v>
      </c>
      <c r="E31" s="2299">
        <f>'[1]пром.пр-во'!E31+'[2]пром.пр-во'!E31</f>
        <v>0</v>
      </c>
      <c r="F31" s="2299">
        <f>'[1]пром.пр-во'!F31+'[2]пром.пр-во'!F31</f>
        <v>0</v>
      </c>
      <c r="G31" s="17">
        <f t="shared" si="0"/>
        <v>0</v>
      </c>
    </row>
    <row r="32" spans="1:7" ht="10.5" customHeight="1">
      <c r="A32" s="442" t="s">
        <v>79</v>
      </c>
      <c r="B32" s="443">
        <f t="shared" ref="B32:G32" si="1">SUM(B33:B38)</f>
        <v>1977.48</v>
      </c>
      <c r="C32" s="1575">
        <f t="shared" si="1"/>
        <v>0</v>
      </c>
      <c r="D32" s="444">
        <f t="shared" si="1"/>
        <v>2428</v>
      </c>
      <c r="E32" s="437">
        <f t="shared" si="1"/>
        <v>60</v>
      </c>
      <c r="F32" s="443">
        <f t="shared" si="1"/>
        <v>0</v>
      </c>
      <c r="G32" s="443">
        <f t="shared" si="1"/>
        <v>4465.4799999999996</v>
      </c>
    </row>
    <row r="33" spans="1:7" ht="20.25" customHeight="1">
      <c r="A33" s="22" t="s">
        <v>524</v>
      </c>
      <c r="B33" s="2299">
        <f>'[1]пром.пр-во'!B33+'[2]пром.пр-во'!B33</f>
        <v>1977.48</v>
      </c>
      <c r="C33" s="2299">
        <f>'[1]пром.пр-во'!C33+'[2]пром.пр-во'!C33</f>
        <v>0</v>
      </c>
      <c r="D33" s="2299">
        <f>'[1]пром.пр-во'!D33+'[2]пром.пр-во'!D33</f>
        <v>2428</v>
      </c>
      <c r="E33" s="2299">
        <f>'[1]пром.пр-во'!E33+'[2]пром.пр-во'!E33</f>
        <v>60</v>
      </c>
      <c r="F33" s="2299">
        <f>'[1]пром.пр-во'!F33+'[2]пром.пр-во'!F33</f>
        <v>0</v>
      </c>
      <c r="G33" s="17">
        <f t="shared" ref="G33:G50" si="2">SUM(B33:F33)</f>
        <v>4465.4799999999996</v>
      </c>
    </row>
    <row r="34" spans="1:7" ht="10.5" customHeight="1">
      <c r="A34" s="23" t="s">
        <v>81</v>
      </c>
      <c r="B34" s="17"/>
      <c r="C34" s="1570"/>
      <c r="D34" s="19"/>
      <c r="E34" s="18"/>
      <c r="F34" s="17"/>
      <c r="G34" s="17">
        <f t="shared" si="2"/>
        <v>0</v>
      </c>
    </row>
    <row r="35" spans="1:7" ht="10.5" customHeight="1">
      <c r="A35" s="24" t="s">
        <v>82</v>
      </c>
      <c r="B35" s="17"/>
      <c r="C35" s="1570"/>
      <c r="D35" s="19"/>
      <c r="E35" s="18"/>
      <c r="F35" s="17"/>
      <c r="G35" s="17">
        <f t="shared" si="2"/>
        <v>0</v>
      </c>
    </row>
    <row r="36" spans="1:7" ht="10.5" customHeight="1">
      <c r="A36" s="24" t="s">
        <v>83</v>
      </c>
      <c r="B36" s="17"/>
      <c r="C36" s="1570"/>
      <c r="D36" s="19"/>
      <c r="E36" s="18"/>
      <c r="F36" s="17"/>
      <c r="G36" s="17">
        <f t="shared" si="2"/>
        <v>0</v>
      </c>
    </row>
    <row r="37" spans="1:7" ht="17.25" customHeight="1">
      <c r="A37" s="21" t="s">
        <v>84</v>
      </c>
      <c r="B37" s="17"/>
      <c r="C37" s="1570"/>
      <c r="D37" s="19"/>
      <c r="E37" s="18"/>
      <c r="F37" s="17"/>
      <c r="G37" s="17">
        <f t="shared" si="2"/>
        <v>0</v>
      </c>
    </row>
    <row r="38" spans="1:7" ht="10.5" customHeight="1" thickBot="1">
      <c r="A38" s="23" t="s">
        <v>88</v>
      </c>
      <c r="B38" s="17"/>
      <c r="C38" s="1570"/>
      <c r="D38" s="19"/>
      <c r="E38" s="18"/>
      <c r="F38" s="17"/>
      <c r="G38" s="17">
        <f t="shared" si="2"/>
        <v>0</v>
      </c>
    </row>
    <row r="39" spans="1:7" ht="10.5" customHeight="1" thickBot="1">
      <c r="A39" s="47" t="s">
        <v>18</v>
      </c>
      <c r="B39" s="26">
        <f>B6+B25+B26+B27+B32+B28</f>
        <v>77103.512276986774</v>
      </c>
      <c r="C39" s="1576">
        <f>C6+C25+C26+C27+C32+C28</f>
        <v>2361.6</v>
      </c>
      <c r="D39" s="27">
        <f>D6+D25+D26+D27+D32+D28</f>
        <v>63575.961098788583</v>
      </c>
      <c r="E39" s="25">
        <f>E6+E25+E26+E27+E32+E28</f>
        <v>4910.8164100000004</v>
      </c>
      <c r="F39" s="26">
        <f>F6+F25+F26+F27+F32+F28</f>
        <v>0</v>
      </c>
      <c r="G39" s="29">
        <f t="shared" si="2"/>
        <v>147951.88978577536</v>
      </c>
    </row>
    <row r="40" spans="1:7" ht="10.5" customHeight="1">
      <c r="A40" s="48" t="s">
        <v>102</v>
      </c>
      <c r="B40" s="15">
        <f>SUM(B41:B48)</f>
        <v>368911.99362516281</v>
      </c>
      <c r="C40" s="1577">
        <f>SUM(C41:C48)</f>
        <v>216316.15842421449</v>
      </c>
      <c r="D40" s="49">
        <f>SUM(D41:D48)</f>
        <v>183419.94451593468</v>
      </c>
      <c r="E40" s="49">
        <f>SUM(E41:E48)</f>
        <v>33609.70689742628</v>
      </c>
      <c r="F40" s="15">
        <f>SUM(F41:F48)</f>
        <v>0</v>
      </c>
      <c r="G40" s="17">
        <f t="shared" si="2"/>
        <v>802257.80346273829</v>
      </c>
    </row>
    <row r="41" spans="1:7" ht="10.5" customHeight="1">
      <c r="A41" s="50" t="s">
        <v>642</v>
      </c>
      <c r="B41" s="2300">
        <f>'[3]мясо на кости КРС'!$D$9/1000+'[4]мясо на кости КРС'!$D$9/1000</f>
        <v>10134.618401963053</v>
      </c>
      <c r="C41" s="2301"/>
      <c r="D41" s="2302"/>
      <c r="E41" s="2303"/>
      <c r="F41" s="17"/>
      <c r="G41" s="17">
        <f t="shared" si="2"/>
        <v>10134.618401963053</v>
      </c>
    </row>
    <row r="42" spans="1:7" ht="10.5" customHeight="1">
      <c r="A42" s="50" t="s">
        <v>478</v>
      </c>
      <c r="B42" s="2300">
        <f>'[3]себ-ть скота для забоя и реализ'!$O$15+'[4]себ-ть скота для забоя и реализ'!$O$15</f>
        <v>358777.37522319978</v>
      </c>
      <c r="C42" s="2301"/>
      <c r="D42" s="2302"/>
      <c r="E42" s="2303"/>
      <c r="F42" s="17"/>
      <c r="G42" s="17">
        <f t="shared" si="2"/>
        <v>358777.37522319978</v>
      </c>
    </row>
    <row r="43" spans="1:7" ht="10.5" customHeight="1">
      <c r="A43" s="51" t="s">
        <v>104</v>
      </c>
      <c r="B43" s="2300"/>
      <c r="C43" s="2301">
        <f>'[3]сырье для жиловки '!$D$75/1000+'[3]сырье для жиловки '!$D$78/1000+'[3]сырье для жиловки '!$D$99/1000+('[4]сырье для жиловки '!$D$75+'[4]сырье для жиловки '!$D$78+'[4]сырье для жиловки '!$D$99)/1000</f>
        <v>216316.15842421449</v>
      </c>
      <c r="D43" s="2302"/>
      <c r="E43" s="2303"/>
      <c r="F43" s="17"/>
      <c r="G43" s="17">
        <f t="shared" si="2"/>
        <v>216316.15842421449</v>
      </c>
    </row>
    <row r="44" spans="1:7" ht="10.5" customHeight="1">
      <c r="A44" s="51" t="s">
        <v>464</v>
      </c>
      <c r="B44" s="2300"/>
      <c r="C44" s="2301"/>
      <c r="D44" s="2302">
        <f>'[3]Расход сырья'!$D$29/1000+'[4]Расход сырья'!$D$29/1000</f>
        <v>183419.94451593468</v>
      </c>
      <c r="E44" s="2303">
        <f>'[3]фасованное мясо'!$D$19/1000+'[4]фасованное мясо'!$D$19/1000</f>
        <v>33609.70689742628</v>
      </c>
      <c r="F44" s="17"/>
      <c r="G44" s="17">
        <f t="shared" si="2"/>
        <v>217029.65141336096</v>
      </c>
    </row>
    <row r="45" spans="1:7" ht="9" customHeight="1">
      <c r="A45" s="51" t="s">
        <v>463</v>
      </c>
      <c r="B45" s="17"/>
      <c r="C45" s="1570"/>
      <c r="D45" s="19"/>
      <c r="E45" s="18"/>
      <c r="F45" s="17"/>
      <c r="G45" s="17">
        <f t="shared" si="2"/>
        <v>0</v>
      </c>
    </row>
    <row r="46" spans="1:7" ht="11.25" customHeight="1">
      <c r="A46" s="51" t="s">
        <v>465</v>
      </c>
      <c r="B46" s="17"/>
      <c r="C46" s="1570"/>
      <c r="D46" s="19"/>
      <c r="E46" s="18"/>
      <c r="F46" s="17"/>
      <c r="G46" s="17"/>
    </row>
    <row r="47" spans="1:7" ht="10.5" customHeight="1">
      <c r="A47" s="50" t="s">
        <v>337</v>
      </c>
      <c r="B47" s="17"/>
      <c r="C47" s="1570"/>
      <c r="D47" s="19"/>
      <c r="E47" s="18"/>
      <c r="F47" s="17"/>
      <c r="G47" s="17">
        <f t="shared" si="2"/>
        <v>0</v>
      </c>
    </row>
    <row r="48" spans="1:7" ht="10.5" customHeight="1">
      <c r="A48" s="50" t="s">
        <v>106</v>
      </c>
      <c r="B48" s="17"/>
      <c r="C48" s="1570"/>
      <c r="D48" s="19"/>
      <c r="E48" s="18"/>
      <c r="F48" s="17"/>
      <c r="G48" s="17">
        <f t="shared" si="2"/>
        <v>0</v>
      </c>
    </row>
    <row r="49" spans="1:7" ht="10.5" customHeight="1">
      <c r="A49" s="24" t="s">
        <v>89</v>
      </c>
      <c r="B49" s="17">
        <f>'вспом. план'!AC83</f>
        <v>16854.370513896221</v>
      </c>
      <c r="C49" s="19">
        <f>'вспом. план'!AC84</f>
        <v>75.08767446699008</v>
      </c>
      <c r="D49" s="18">
        <f>'вспом. план'!AC85</f>
        <v>16688.263842930013</v>
      </c>
      <c r="E49" s="18">
        <f>'вспом. план'!AC86</f>
        <v>159.14447288052912</v>
      </c>
      <c r="F49" s="18">
        <f>'вспом. план'!AC89</f>
        <v>0</v>
      </c>
      <c r="G49" s="17">
        <f t="shared" si="2"/>
        <v>33776.866504173755</v>
      </c>
    </row>
    <row r="50" spans="1:7" ht="10.5" customHeight="1" thickBot="1">
      <c r="A50" s="23" t="s">
        <v>107</v>
      </c>
      <c r="B50" s="53"/>
      <c r="C50" s="1578"/>
      <c r="D50" s="54"/>
      <c r="E50" s="52"/>
      <c r="F50" s="53"/>
      <c r="G50" s="28">
        <f t="shared" si="2"/>
        <v>0</v>
      </c>
    </row>
    <row r="51" spans="1:7" ht="10.5" customHeight="1">
      <c r="A51" s="55" t="s">
        <v>108</v>
      </c>
      <c r="B51" s="57">
        <f>B39+B40+B49+B50</f>
        <v>462869.87641604582</v>
      </c>
      <c r="C51" s="1579">
        <f>C39+C40+C49+C50</f>
        <v>218752.84609868148</v>
      </c>
      <c r="D51" s="56">
        <f>D39+D40+D49+D50</f>
        <v>263684.1694576533</v>
      </c>
      <c r="E51" s="1587">
        <f>E39+E40+E49+E50</f>
        <v>38679.667780306809</v>
      </c>
      <c r="F51" s="57">
        <f>F39+F40+F49+F50</f>
        <v>0</v>
      </c>
      <c r="G51" s="58">
        <f>SUM(G40:G50)</f>
        <v>1638292.4734296501</v>
      </c>
    </row>
    <row r="52" spans="1:7" ht="10.5" customHeight="1" thickBot="1">
      <c r="A52" s="59" t="s">
        <v>109</v>
      </c>
      <c r="B52" s="53"/>
      <c r="C52" s="1578"/>
      <c r="D52" s="54"/>
      <c r="E52" s="52"/>
      <c r="F52" s="53"/>
      <c r="G52" s="53"/>
    </row>
    <row r="53" spans="1:7" ht="10.5" customHeight="1">
      <c r="A53" s="50" t="s">
        <v>110</v>
      </c>
      <c r="B53" s="40">
        <v>8856.6486901210064</v>
      </c>
      <c r="C53" s="1764">
        <f>$G$53/$G$64*C64</f>
        <v>337.75841699612715</v>
      </c>
      <c r="D53" s="41">
        <f>$G$53/$G$64*D64</f>
        <v>6861.9682913866618</v>
      </c>
      <c r="E53" s="41">
        <f>$G$53/$G$64*E64</f>
        <v>525.47930541654421</v>
      </c>
      <c r="F53" s="18"/>
      <c r="G53" s="17">
        <f>'произв. план'!I70</f>
        <v>13740.986345831447</v>
      </c>
    </row>
    <row r="54" spans="1:7" ht="10.5" customHeight="1" thickBot="1">
      <c r="A54" s="24" t="s">
        <v>111</v>
      </c>
      <c r="B54" s="53"/>
      <c r="C54" s="1578"/>
      <c r="D54" s="54"/>
      <c r="E54" s="52"/>
      <c r="F54" s="53"/>
      <c r="G54" s="53">
        <f>SUM(B54:F54)</f>
        <v>0</v>
      </c>
    </row>
    <row r="55" spans="1:7" ht="10.5" customHeight="1" thickBot="1">
      <c r="A55" s="60" t="s">
        <v>53</v>
      </c>
      <c r="B55" s="62"/>
      <c r="C55" s="1580"/>
      <c r="D55" s="63"/>
      <c r="E55" s="61"/>
      <c r="F55" s="62"/>
      <c r="G55" s="64">
        <f>SUM(B55:F55)</f>
        <v>0</v>
      </c>
    </row>
    <row r="56" spans="1:7" ht="10.5" customHeight="1">
      <c r="A56" s="55" t="s">
        <v>112</v>
      </c>
      <c r="B56" s="58">
        <f t="shared" ref="B56:G56" si="3">B51+B53+B54</f>
        <v>471726.52510616684</v>
      </c>
      <c r="C56" s="74">
        <f t="shared" si="3"/>
        <v>219090.60451567761</v>
      </c>
      <c r="D56" s="65">
        <f t="shared" si="3"/>
        <v>270546.13774903998</v>
      </c>
      <c r="E56" s="65">
        <f t="shared" si="3"/>
        <v>39205.147085723351</v>
      </c>
      <c r="F56" s="58">
        <f t="shared" si="3"/>
        <v>0</v>
      </c>
      <c r="G56" s="58">
        <f t="shared" si="3"/>
        <v>1652033.4597754816</v>
      </c>
    </row>
    <row r="57" spans="1:7" s="70" customFormat="1" ht="10.5" customHeight="1" thickBot="1">
      <c r="A57" s="66" t="s">
        <v>109</v>
      </c>
      <c r="B57" s="67">
        <f>B62/B2</f>
        <v>11.872173755032412</v>
      </c>
      <c r="C57" s="1581">
        <f>C62/C2</f>
        <v>2.701482536735301</v>
      </c>
      <c r="D57" s="68">
        <f>D56/D2</f>
        <v>213.53825649032967</v>
      </c>
      <c r="E57" s="76"/>
      <c r="F57" s="67"/>
      <c r="G57" s="69"/>
    </row>
    <row r="58" spans="1:7" ht="10.5" customHeight="1" thickBot="1">
      <c r="A58" s="71" t="s">
        <v>113</v>
      </c>
      <c r="B58" s="64"/>
      <c r="C58" s="1582"/>
      <c r="D58" s="172">
        <f>'вспом. план'!AM85</f>
        <v>50528.066111757566</v>
      </c>
      <c r="E58" s="72">
        <f>'вспом. план'!AM86</f>
        <v>6245.041878981272</v>
      </c>
      <c r="F58" s="64"/>
      <c r="G58" s="39">
        <f>SUM(B58:F58)</f>
        <v>56773.107990738834</v>
      </c>
    </row>
    <row r="59" spans="1:7" ht="10.5" customHeight="1">
      <c r="A59" s="73" t="s">
        <v>114</v>
      </c>
      <c r="B59" s="58">
        <f t="shared" ref="B59:G59" si="4">B56+B58</f>
        <v>471726.52510616684</v>
      </c>
      <c r="C59" s="1583">
        <f t="shared" si="4"/>
        <v>219090.60451567761</v>
      </c>
      <c r="D59" s="74">
        <f t="shared" si="4"/>
        <v>321074.20386079757</v>
      </c>
      <c r="E59" s="65">
        <f t="shared" si="4"/>
        <v>45450.188964704619</v>
      </c>
      <c r="F59" s="58">
        <f t="shared" si="4"/>
        <v>0</v>
      </c>
      <c r="G59" s="57">
        <f t="shared" si="4"/>
        <v>1708806.5677662205</v>
      </c>
    </row>
    <row r="60" spans="1:7" s="79" customFormat="1" ht="10.5" customHeight="1" thickBot="1">
      <c r="A60" s="75" t="s">
        <v>109</v>
      </c>
      <c r="B60" s="77"/>
      <c r="C60" s="1584"/>
      <c r="D60" s="78">
        <f>D59/D2</f>
        <v>253.41934749796175</v>
      </c>
      <c r="E60" s="76"/>
      <c r="F60" s="77"/>
      <c r="G60" s="77">
        <f>D60</f>
        <v>253.41934749796175</v>
      </c>
    </row>
    <row r="62" spans="1:7" ht="10.5" customHeight="1">
      <c r="B62" s="445">
        <f>B39-B20+B49+B53</f>
        <v>52256.241564017233</v>
      </c>
      <c r="C62" s="445">
        <f>C59-C43</f>
        <v>2774.44609146312</v>
      </c>
      <c r="D62" s="80">
        <f>D59-D44-D23-D58-D53-D49-D27-D26</f>
        <v>12348.775627723753</v>
      </c>
      <c r="E62" s="80">
        <f>E49+E39-E7</f>
        <v>5069.9608828805294</v>
      </c>
      <c r="G62" s="80"/>
    </row>
    <row r="64" spans="1:7" ht="10.5" customHeight="1">
      <c r="A64" s="9" t="s">
        <v>348</v>
      </c>
      <c r="B64" s="80">
        <f>B49+B39-B20</f>
        <v>43399.592873896225</v>
      </c>
      <c r="C64" s="80">
        <f>C49+C39</f>
        <v>2436.6876744669898</v>
      </c>
      <c r="D64" s="80">
        <f>D49+D39-D23</f>
        <v>49504.239470653702</v>
      </c>
      <c r="E64" s="80">
        <f>E49+E39-E23</f>
        <v>3790.9608828805294</v>
      </c>
      <c r="F64" s="80"/>
      <c r="G64" s="80">
        <f>B64+C64+D64+E64</f>
        <v>99131.480901897448</v>
      </c>
    </row>
    <row r="65" spans="3:4" ht="10.5" customHeight="1">
      <c r="D65" s="30"/>
    </row>
    <row r="66" spans="3:4" ht="10.5" customHeight="1">
      <c r="C66" s="9" t="s">
        <v>24</v>
      </c>
      <c r="D66" s="80">
        <f>D53+D49+D39-D23</f>
        <v>56366.207762040372</v>
      </c>
    </row>
    <row r="67" spans="3:4" ht="10.5" customHeight="1">
      <c r="C67" s="9" t="s">
        <v>479</v>
      </c>
      <c r="D67" s="80">
        <f>D26+D27</f>
        <v>20467.2</v>
      </c>
    </row>
    <row r="68" spans="3:4" ht="10.5" customHeight="1">
      <c r="C68" s="9" t="s">
        <v>480</v>
      </c>
      <c r="D68" s="80">
        <f>D49</f>
        <v>16688.263842930013</v>
      </c>
    </row>
    <row r="69" spans="3:4" ht="10.5" customHeight="1">
      <c r="C69" s="9" t="s">
        <v>481</v>
      </c>
      <c r="D69" s="80">
        <f>D53</f>
        <v>6861.9682913866618</v>
      </c>
    </row>
    <row r="70" spans="3:4" ht="10.5" customHeight="1">
      <c r="C70" s="9" t="s">
        <v>482</v>
      </c>
      <c r="D70" s="80">
        <f>D66-D67-D68-D69</f>
        <v>12348.7756277237</v>
      </c>
    </row>
    <row r="72" spans="3:4" ht="10.5" customHeight="1">
      <c r="C72" s="9" t="s">
        <v>501</v>
      </c>
      <c r="D72" s="70">
        <f>'[3]СВОД РАСЧЕТ'!$AD$107/1000</f>
        <v>840.9626618394999</v>
      </c>
    </row>
  </sheetData>
  <phoneticPr fontId="18" type="noConversion"/>
  <pageMargins left="0.23622047244094491" right="0.27559055118110237" top="0.59055118110236227" bottom="1.8503937007874016" header="0.23622047244094491" footer="0.19685039370078741"/>
  <pageSetup paperSize="9" orientation="portrait" r:id="rId1"/>
  <headerFooter alignWithMargins="0">
    <oddHeader>&amp;C&amp;F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6">
    <tabColor rgb="FFFFFF00"/>
  </sheetPr>
  <dimension ref="A1:U197"/>
  <sheetViews>
    <sheetView workbookViewId="0">
      <pane xSplit="2" ySplit="6" topLeftCell="G68" activePane="bottomRight" state="frozen"/>
      <selection pane="topRight" activeCell="C1" sqref="C1"/>
      <selection pane="bottomLeft" activeCell="A7" sqref="A7"/>
      <selection pane="bottomRight" activeCell="C3" sqref="C3"/>
    </sheetView>
  </sheetViews>
  <sheetFormatPr defaultRowHeight="11.25" outlineLevelRow="2" outlineLevelCol="1"/>
  <cols>
    <col min="1" max="1" width="0.85546875" style="1396" customWidth="1"/>
    <col min="2" max="2" width="27.42578125" style="1396" customWidth="1"/>
    <col min="3" max="3" width="8.7109375" style="1396" customWidth="1" outlineLevel="1"/>
    <col min="4" max="4" width="8.85546875" style="1396" customWidth="1" outlineLevel="1"/>
    <col min="5" max="5" width="8.7109375" style="1396" customWidth="1" outlineLevel="1"/>
    <col min="6" max="6" width="8.85546875" style="1396" customWidth="1" outlineLevel="1"/>
    <col min="7" max="7" width="8.5703125" style="1396" customWidth="1" outlineLevel="1"/>
    <col min="8" max="8" width="6.140625" style="1396" customWidth="1" outlineLevel="1"/>
    <col min="9" max="9" width="8.42578125" style="1396" bestFit="1" customWidth="1" outlineLevel="1"/>
    <col min="10" max="10" width="10" style="1396" customWidth="1"/>
    <col min="11" max="11" width="11.140625" style="1396" customWidth="1"/>
    <col min="12" max="12" width="7.42578125" style="1396" customWidth="1"/>
    <col min="13" max="13" width="6.140625" style="1396" customWidth="1"/>
    <col min="14" max="14" width="7.85546875" style="1396" customWidth="1"/>
    <col min="15" max="15" width="7.140625" style="1396" customWidth="1"/>
    <col min="16" max="16" width="9.42578125" style="1402" customWidth="1"/>
    <col min="17" max="17" width="6.140625" style="1396" hidden="1" customWidth="1" outlineLevel="1"/>
    <col min="18" max="18" width="8.140625" style="1396" hidden="1" customWidth="1" outlineLevel="1"/>
    <col min="19" max="19" width="9.28515625" style="1396" customWidth="1" collapsed="1"/>
    <col min="20" max="20" width="7.140625" style="1396" customWidth="1"/>
    <col min="21" max="21" width="6.42578125" style="1396" customWidth="1"/>
    <col min="22" max="133" width="5.28515625" style="1396" customWidth="1"/>
    <col min="134" max="16384" width="9.140625" style="1396"/>
  </cols>
  <sheetData>
    <row r="1" spans="1:18" s="1391" customFormat="1" ht="15" customHeight="1" thickBot="1">
      <c r="A1" s="1389" t="s">
        <v>668</v>
      </c>
      <c r="B1" s="1390"/>
      <c r="P1" s="1389"/>
    </row>
    <row r="2" spans="1:18" ht="66.75" customHeight="1" thickBot="1">
      <c r="A2" s="1392"/>
      <c r="B2" s="1393"/>
      <c r="C2" s="1394" t="s">
        <v>425</v>
      </c>
      <c r="D2" s="1394" t="s">
        <v>421</v>
      </c>
      <c r="E2" s="1394" t="s">
        <v>426</v>
      </c>
      <c r="F2" s="1394" t="s">
        <v>633</v>
      </c>
      <c r="G2" s="1394" t="s">
        <v>634</v>
      </c>
      <c r="H2" s="1394" t="s">
        <v>635</v>
      </c>
      <c r="I2" s="1395" t="s">
        <v>115</v>
      </c>
      <c r="J2" s="2600" t="s">
        <v>116</v>
      </c>
      <c r="K2" s="2606" t="s">
        <v>117</v>
      </c>
      <c r="L2" s="2600" t="s">
        <v>118</v>
      </c>
      <c r="M2" s="2600" t="s">
        <v>119</v>
      </c>
      <c r="N2" s="2600" t="s">
        <v>120</v>
      </c>
      <c r="O2" s="2600" t="s">
        <v>121</v>
      </c>
      <c r="P2" s="2600" t="s">
        <v>508</v>
      </c>
      <c r="Q2" s="2667"/>
      <c r="R2" s="2600" t="s">
        <v>509</v>
      </c>
    </row>
    <row r="3" spans="1:18" s="1402" customFormat="1" ht="13.5" customHeight="1" thickBot="1">
      <c r="A3" s="1397"/>
      <c r="B3" s="1398" t="s">
        <v>90</v>
      </c>
      <c r="C3" s="1399">
        <f>'[1]затраты св-во Шув-1'!L4</f>
        <v>1414.8522500000001</v>
      </c>
      <c r="D3" s="1399">
        <f>'[1]затраты св-во шув-2'!K4</f>
        <v>928.98087750000002</v>
      </c>
      <c r="E3" s="1399">
        <f>'[1]затраты св-во шув-2'!M4</f>
        <v>1201.6032699999998</v>
      </c>
      <c r="F3" s="1400">
        <f>'[1]затраты КРС'!J5</f>
        <v>35.552500000000002</v>
      </c>
      <c r="G3" s="1400">
        <f>'[1]затраты КРС'!H6</f>
        <v>603.23500000000001</v>
      </c>
      <c r="H3" s="1401"/>
      <c r="I3" s="1399">
        <f>'[1]пром.пр-во'!D2</f>
        <v>935.04049999999995</v>
      </c>
      <c r="J3" s="2601"/>
      <c r="K3" s="2607"/>
      <c r="L3" s="2601"/>
      <c r="M3" s="2601"/>
      <c r="N3" s="2601"/>
      <c r="O3" s="2601"/>
      <c r="P3" s="2601"/>
      <c r="Q3" s="2668"/>
      <c r="R3" s="2601"/>
    </row>
    <row r="4" spans="1:18" s="1402" customFormat="1" ht="19.5" customHeight="1" outlineLevel="1">
      <c r="A4" s="1397"/>
      <c r="B4" s="1403" t="s">
        <v>91</v>
      </c>
      <c r="C4" s="1404"/>
      <c r="D4" s="1405"/>
      <c r="E4" s="1405"/>
      <c r="F4" s="1404"/>
      <c r="G4" s="1405"/>
      <c r="H4" s="1405"/>
      <c r="I4" s="1406">
        <v>0</v>
      </c>
      <c r="J4" s="2601"/>
      <c r="K4" s="2607"/>
      <c r="L4" s="2601"/>
      <c r="M4" s="2601"/>
      <c r="N4" s="2601"/>
      <c r="O4" s="2601"/>
      <c r="P4" s="2601"/>
      <c r="Q4" s="2668"/>
      <c r="R4" s="2601"/>
    </row>
    <row r="5" spans="1:18" s="1402" customFormat="1" ht="10.5" customHeight="1" outlineLevel="1" thickBot="1">
      <c r="A5" s="1397"/>
      <c r="B5" s="1407" t="s">
        <v>17</v>
      </c>
      <c r="C5" s="1408">
        <f>C4-C3</f>
        <v>-1414.8522500000001</v>
      </c>
      <c r="D5" s="1409"/>
      <c r="E5" s="1409"/>
      <c r="F5" s="1408"/>
      <c r="G5" s="1409"/>
      <c r="H5" s="1409"/>
      <c r="I5" s="1409">
        <f>I4-I3</f>
        <v>-935.04049999999995</v>
      </c>
      <c r="J5" s="2601"/>
      <c r="K5" s="2607"/>
      <c r="L5" s="2601"/>
      <c r="M5" s="2601"/>
      <c r="N5" s="2601"/>
      <c r="O5" s="2601"/>
      <c r="P5" s="2601"/>
      <c r="Q5" s="2668"/>
      <c r="R5" s="2601"/>
    </row>
    <row r="6" spans="1:18" s="1402" customFormat="1" ht="16.5" customHeight="1" thickBot="1">
      <c r="A6" s="1410"/>
      <c r="B6" s="1411" t="s">
        <v>58</v>
      </c>
      <c r="C6" s="2597"/>
      <c r="D6" s="2598"/>
      <c r="E6" s="2598"/>
      <c r="F6" s="2598"/>
      <c r="G6" s="2598"/>
      <c r="H6" s="2598"/>
      <c r="I6" s="2599"/>
      <c r="J6" s="2602"/>
      <c r="K6" s="2608"/>
      <c r="L6" s="2602"/>
      <c r="M6" s="2602"/>
      <c r="N6" s="2602"/>
      <c r="O6" s="2602"/>
      <c r="P6" s="2602"/>
      <c r="Q6" s="2669"/>
      <c r="R6" s="2602"/>
    </row>
    <row r="7" spans="1:18" s="1402" customFormat="1" ht="10.5">
      <c r="A7" s="1397"/>
      <c r="B7" s="1412" t="s">
        <v>60</v>
      </c>
      <c r="C7" s="1413">
        <f t="shared" ref="C7:P7" si="0">SUM(C8,C11,C14:C17,C20,C23,C26,C29,C32,C33,C36:C41)</f>
        <v>111848.32747988046</v>
      </c>
      <c r="D7" s="1414">
        <f t="shared" si="0"/>
        <v>69498.9181427515</v>
      </c>
      <c r="E7" s="1414">
        <f t="shared" si="0"/>
        <v>89766.722199295007</v>
      </c>
      <c r="F7" s="1414">
        <f t="shared" si="0"/>
        <v>6608.2818925000001</v>
      </c>
      <c r="G7" s="1414">
        <f t="shared" si="0"/>
        <v>9098.4941183333322</v>
      </c>
      <c r="H7" s="1414"/>
      <c r="I7" s="1415">
        <f t="shared" si="0"/>
        <v>64651.960040476872</v>
      </c>
      <c r="J7" s="1413">
        <f t="shared" si="0"/>
        <v>351472.70387323719</v>
      </c>
      <c r="K7" s="1413">
        <f t="shared" si="0"/>
        <v>49513.948026266655</v>
      </c>
      <c r="L7" s="1413">
        <f>SUM(L8,L11,L14:L17,L20,L23,L26,L29,L32,L33,L36:L41)</f>
        <v>3335.17425</v>
      </c>
      <c r="M7" s="1413">
        <f t="shared" si="0"/>
        <v>3618.5</v>
      </c>
      <c r="N7" s="1413">
        <f t="shared" si="0"/>
        <v>1464.5991823999998</v>
      </c>
      <c r="O7" s="1413">
        <f t="shared" si="0"/>
        <v>4769.5512499999995</v>
      </c>
      <c r="P7" s="1414">
        <f t="shared" si="0"/>
        <v>414174.47658190387</v>
      </c>
      <c r="Q7" s="1416"/>
      <c r="R7" s="1414">
        <f>SUM(R8,R11,R14:R17,R20,R23,R26,R29,R32,R33,R36:R41)</f>
        <v>414174.47658190387</v>
      </c>
    </row>
    <row r="8" spans="1:18" outlineLevel="1">
      <c r="A8" s="1417"/>
      <c r="B8" s="1418" t="s">
        <v>503</v>
      </c>
      <c r="C8" s="1419">
        <f>'св-во ш-1 план'!L8</f>
        <v>104796.78702988046</v>
      </c>
      <c r="D8" s="1420">
        <f>'св-во шув-2 план'!K8</f>
        <v>60778.867142751493</v>
      </c>
      <c r="E8" s="1420">
        <f>'св-во шув-2 план'!M8</f>
        <v>83985.742199294997</v>
      </c>
      <c r="F8" s="1419">
        <f>'КРС план'!J9</f>
        <v>2681.8643025000001</v>
      </c>
      <c r="G8" s="1420">
        <f>'КРС план'!H9</f>
        <v>4712.189625</v>
      </c>
      <c r="H8" s="1420"/>
      <c r="I8" s="1421">
        <f>'[1]пром.пр-во'!H7</f>
        <v>0</v>
      </c>
      <c r="J8" s="1420">
        <f>SUM(C8:I8)</f>
        <v>256955.45029942697</v>
      </c>
      <c r="K8" s="1421"/>
      <c r="L8" s="1420"/>
      <c r="M8" s="1421"/>
      <c r="N8" s="1420"/>
      <c r="O8" s="1421"/>
      <c r="P8" s="1422">
        <f>SUM(J8:O8)</f>
        <v>256955.45029942697</v>
      </c>
      <c r="Q8" s="1423"/>
      <c r="R8" s="1424">
        <f>P8+Q8</f>
        <v>256955.45029942697</v>
      </c>
    </row>
    <row r="9" spans="1:18" s="1429" customFormat="1" outlineLevel="1">
      <c r="A9" s="1425"/>
      <c r="B9" s="1418" t="s">
        <v>123</v>
      </c>
      <c r="C9" s="1419">
        <f>'св-во ш-1 план'!L9</f>
        <v>5593.5002999999997</v>
      </c>
      <c r="D9" s="1420">
        <f>'св-во шув-2 план'!K9</f>
        <v>2946.6378323499994</v>
      </c>
      <c r="E9" s="1420">
        <f>'св-во шув-2 план'!M9</f>
        <v>4885.7325304999995</v>
      </c>
      <c r="F9" s="1419">
        <f>'КРС план'!J10</f>
        <v>147.41174999999998</v>
      </c>
      <c r="G9" s="1420">
        <f>'КРС план'!H10</f>
        <v>329.52375000000001</v>
      </c>
      <c r="H9" s="1420"/>
      <c r="I9" s="1421">
        <f>'[1]пром.пр-во'!H8</f>
        <v>0</v>
      </c>
      <c r="J9" s="1420">
        <f>SUM(C9:I9)</f>
        <v>13902.806162849998</v>
      </c>
      <c r="K9" s="1426"/>
      <c r="L9" s="1427"/>
      <c r="M9" s="1426"/>
      <c r="N9" s="1427"/>
      <c r="O9" s="1426"/>
      <c r="P9" s="1422">
        <f>SUM(J9:O9)</f>
        <v>13902.806162849998</v>
      </c>
      <c r="Q9" s="1428"/>
      <c r="R9" s="1424">
        <f>P9+Q9</f>
        <v>13902.806162849998</v>
      </c>
    </row>
    <row r="10" spans="1:18" s="1439" customFormat="1" outlineLevel="1">
      <c r="A10" s="1430"/>
      <c r="B10" s="1431" t="s">
        <v>63</v>
      </c>
      <c r="C10" s="1432">
        <f>C8/C9*1000</f>
        <v>18735.457479081651</v>
      </c>
      <c r="D10" s="1433">
        <f>D8/D9*1000</f>
        <v>20626.514217486714</v>
      </c>
      <c r="E10" s="1433">
        <f>E8/E9*1000</f>
        <v>17190</v>
      </c>
      <c r="F10" s="1433">
        <f>F8/F9*1000</f>
        <v>18193.015838289692</v>
      </c>
      <c r="G10" s="1433">
        <f>G8/G9*1000</f>
        <v>14299.999999999998</v>
      </c>
      <c r="H10" s="1434"/>
      <c r="I10" s="1435"/>
      <c r="J10" s="1434">
        <f>J8/J9*1000</f>
        <v>18482.272376496439</v>
      </c>
      <c r="K10" s="1436"/>
      <c r="L10" s="1434"/>
      <c r="M10" s="1436"/>
      <c r="N10" s="1434"/>
      <c r="O10" s="1436"/>
      <c r="P10" s="1437">
        <f>P8/P9*1000</f>
        <v>18482.272376496439</v>
      </c>
      <c r="Q10" s="1438"/>
      <c r="R10" s="1437">
        <f>R8/R9*1000</f>
        <v>18482.272376496439</v>
      </c>
    </row>
    <row r="11" spans="1:18" hidden="1" outlineLevel="2">
      <c r="A11" s="1417"/>
      <c r="B11" s="1418" t="s">
        <v>101</v>
      </c>
      <c r="C11" s="1419"/>
      <c r="D11" s="1420">
        <f>'[1]затраты св-во шув-2'!K11</f>
        <v>0</v>
      </c>
      <c r="E11" s="1420">
        <f>'[1]затраты св-во шув-2'!M11</f>
        <v>0</v>
      </c>
      <c r="F11" s="1419"/>
      <c r="G11" s="1420"/>
      <c r="H11" s="1420"/>
      <c r="I11" s="1421"/>
      <c r="J11" s="1420">
        <f>SUM(C11:I11)</f>
        <v>0</v>
      </c>
      <c r="K11" s="1421"/>
      <c r="L11" s="1420"/>
      <c r="M11" s="1421"/>
      <c r="N11" s="1420"/>
      <c r="O11" s="1421"/>
      <c r="P11" s="1422">
        <f>SUM(J11:O11)</f>
        <v>0</v>
      </c>
      <c r="Q11" s="1423"/>
      <c r="R11" s="1424">
        <f>P11+Q11</f>
        <v>0</v>
      </c>
    </row>
    <row r="12" spans="1:18" s="1429" customFormat="1" hidden="1" outlineLevel="2">
      <c r="A12" s="1425"/>
      <c r="B12" s="1418" t="s">
        <v>123</v>
      </c>
      <c r="C12" s="1419"/>
      <c r="D12" s="1420">
        <f>'[1]затраты св-во шув-2'!K12</f>
        <v>0</v>
      </c>
      <c r="E12" s="1420">
        <f>'[1]затраты св-во шув-2'!M12</f>
        <v>0</v>
      </c>
      <c r="F12" s="1419"/>
      <c r="G12" s="1420"/>
      <c r="H12" s="1420"/>
      <c r="I12" s="1426"/>
      <c r="J12" s="1420">
        <f>SUM(C12:I12)</f>
        <v>0</v>
      </c>
      <c r="K12" s="1426"/>
      <c r="L12" s="1427"/>
      <c r="M12" s="1426"/>
      <c r="N12" s="1427"/>
      <c r="O12" s="1426"/>
      <c r="P12" s="1422">
        <f>SUM(J12:O12)</f>
        <v>0</v>
      </c>
      <c r="Q12" s="1428"/>
      <c r="R12" s="1424">
        <f>P12+Q12</f>
        <v>0</v>
      </c>
    </row>
    <row r="13" spans="1:18" s="1439" customFormat="1" hidden="1" outlineLevel="2">
      <c r="A13" s="1430"/>
      <c r="B13" s="1431" t="s">
        <v>63</v>
      </c>
      <c r="C13" s="1440"/>
      <c r="D13" s="1434"/>
      <c r="E13" s="1434"/>
      <c r="F13" s="1440"/>
      <c r="G13" s="1434"/>
      <c r="H13" s="1434"/>
      <c r="I13" s="1436"/>
      <c r="J13" s="1434"/>
      <c r="K13" s="1436"/>
      <c r="L13" s="1434"/>
      <c r="M13" s="1436"/>
      <c r="N13" s="1434"/>
      <c r="O13" s="1436"/>
      <c r="P13" s="1437"/>
      <c r="Q13" s="1438"/>
      <c r="R13" s="1437" t="e">
        <f>R11/R12*1000</f>
        <v>#DIV/0!</v>
      </c>
    </row>
    <row r="14" spans="1:18" s="1443" customFormat="1" outlineLevel="1" collapsed="1">
      <c r="A14" s="1441"/>
      <c r="B14" s="1418" t="s">
        <v>125</v>
      </c>
      <c r="C14" s="1419">
        <f>'св-во ш-1 план'!L14</f>
        <v>0</v>
      </c>
      <c r="D14" s="1420">
        <f>'св-во шув-2 план'!K14</f>
        <v>37.5</v>
      </c>
      <c r="E14" s="1420">
        <f>'св-во шув-2 план'!M14</f>
        <v>0</v>
      </c>
      <c r="F14" s="1419">
        <f>'КРС факт'!K22</f>
        <v>220.16101</v>
      </c>
      <c r="G14" s="1420">
        <f>'КРС план'!H15</f>
        <v>2004.6499100000001</v>
      </c>
      <c r="H14" s="1420"/>
      <c r="I14" s="1421"/>
      <c r="J14" s="1420">
        <f>SUM(C14:I14)</f>
        <v>2262.3109199999999</v>
      </c>
      <c r="K14" s="1421"/>
      <c r="L14" s="1420"/>
      <c r="M14" s="1421"/>
      <c r="N14" s="1420"/>
      <c r="O14" s="1421"/>
      <c r="P14" s="1422">
        <f>SUM(J14:O14)</f>
        <v>2262.3109199999999</v>
      </c>
      <c r="Q14" s="1442"/>
      <c r="R14" s="1424">
        <f>P14+Q14</f>
        <v>2262.3109199999999</v>
      </c>
    </row>
    <row r="15" spans="1:18" s="1429" customFormat="1" outlineLevel="1">
      <c r="A15" s="1425"/>
      <c r="B15" s="1418" t="s">
        <v>126</v>
      </c>
      <c r="C15" s="1419">
        <f>'св-во ш-1 план'!L15</f>
        <v>0</v>
      </c>
      <c r="D15" s="1420">
        <f>'св-во шув-2 план'!K15</f>
        <v>0</v>
      </c>
      <c r="E15" s="1420">
        <f>'св-во шув-2 план'!M15</f>
        <v>0</v>
      </c>
      <c r="F15" s="1419">
        <f>'КРС факт'!K23</f>
        <v>2569.0012900000002</v>
      </c>
      <c r="G15" s="1420">
        <f>'КРС план'!H16</f>
        <v>1975.82125</v>
      </c>
      <c r="H15" s="1420"/>
      <c r="I15" s="1426"/>
      <c r="J15" s="1420">
        <f>SUM(C15:I15)</f>
        <v>4544.8225400000001</v>
      </c>
      <c r="K15" s="1426"/>
      <c r="L15" s="1427"/>
      <c r="M15" s="1426"/>
      <c r="N15" s="1427"/>
      <c r="O15" s="1426"/>
      <c r="P15" s="1422">
        <f>SUM(J15:O15)</f>
        <v>4544.8225400000001</v>
      </c>
      <c r="Q15" s="1428"/>
      <c r="R15" s="1424">
        <f>P15+Q15</f>
        <v>4544.8225400000001</v>
      </c>
    </row>
    <row r="16" spans="1:18" s="1443" customFormat="1" outlineLevel="1">
      <c r="A16" s="1441"/>
      <c r="B16" s="1418" t="s">
        <v>127</v>
      </c>
      <c r="C16" s="1419">
        <f>'св-во ш-1 план'!L16</f>
        <v>5568.2604499999998</v>
      </c>
      <c r="D16" s="1420">
        <f>'св-во шув-2 план'!K16</f>
        <v>5155.2649999999994</v>
      </c>
      <c r="E16" s="1420">
        <f>'св-во шув-2 план'!M16</f>
        <v>2410.85</v>
      </c>
      <c r="F16" s="1419">
        <f>'КРС факт'!K24</f>
        <v>137.25529</v>
      </c>
      <c r="G16" s="1420">
        <f>'КРС план'!H17</f>
        <v>91.666666666666671</v>
      </c>
      <c r="H16" s="1420"/>
      <c r="I16" s="1421"/>
      <c r="J16" s="1420">
        <f>SUM(C16:I16)</f>
        <v>13363.297406666665</v>
      </c>
      <c r="K16" s="1421"/>
      <c r="L16" s="1420"/>
      <c r="M16" s="1421"/>
      <c r="N16" s="1420"/>
      <c r="O16" s="1421"/>
      <c r="P16" s="1444">
        <f>SUM(J16:O16)</f>
        <v>13363.297406666665</v>
      </c>
      <c r="Q16" s="1442"/>
      <c r="R16" s="1424">
        <f>P16+Q16</f>
        <v>13363.297406666665</v>
      </c>
    </row>
    <row r="17" spans="1:18" outlineLevel="1">
      <c r="A17" s="1417"/>
      <c r="B17" s="1418" t="s">
        <v>61</v>
      </c>
      <c r="C17" s="1419"/>
      <c r="D17" s="1420"/>
      <c r="E17" s="1420"/>
      <c r="F17" s="1419"/>
      <c r="G17" s="1420"/>
      <c r="H17" s="1420"/>
      <c r="I17" s="1421"/>
      <c r="J17" s="1420">
        <f>SUM(C17:I17)</f>
        <v>0</v>
      </c>
      <c r="K17" s="1427">
        <f>'[1]затраты вспом.'!AC6</f>
        <v>33773.166049999993</v>
      </c>
      <c r="L17" s="1420"/>
      <c r="M17" s="1421"/>
      <c r="N17" s="1420"/>
      <c r="O17" s="1421">
        <f>'[1]затраты вспом.'!AM6</f>
        <v>1728</v>
      </c>
      <c r="P17" s="1444">
        <f>SUM(J17:O17)</f>
        <v>35501.166049999993</v>
      </c>
      <c r="Q17" s="1442"/>
      <c r="R17" s="1424">
        <f>P17+Q17</f>
        <v>35501.166049999993</v>
      </c>
    </row>
    <row r="18" spans="1:18" s="1429" customFormat="1" outlineLevel="2">
      <c r="A18" s="1425"/>
      <c r="B18" s="1418" t="s">
        <v>62</v>
      </c>
      <c r="C18" s="1419"/>
      <c r="D18" s="1420"/>
      <c r="E18" s="1420"/>
      <c r="F18" s="1419"/>
      <c r="G18" s="1420"/>
      <c r="H18" s="1420"/>
      <c r="I18" s="1426"/>
      <c r="J18" s="1420">
        <f>SUM(C18:I18)</f>
        <v>0</v>
      </c>
      <c r="K18" s="1427">
        <f>'[1]затраты вспом.'!AC7</f>
        <v>5388.9274999999989</v>
      </c>
      <c r="L18" s="1420"/>
      <c r="M18" s="1421"/>
      <c r="N18" s="1420"/>
      <c r="O18" s="1421">
        <f>'[1]затраты вспом.'!AM7</f>
        <v>270</v>
      </c>
      <c r="P18" s="1444">
        <f>SUM(J18:O18)</f>
        <v>5658.9274999999989</v>
      </c>
      <c r="Q18" s="1428"/>
      <c r="R18" s="1424">
        <f>P18+Q18</f>
        <v>5658.9274999999989</v>
      </c>
    </row>
    <row r="19" spans="1:18" s="1439" customFormat="1" outlineLevel="2">
      <c r="A19" s="1430"/>
      <c r="B19" s="1431" t="s">
        <v>63</v>
      </c>
      <c r="C19" s="1445"/>
      <c r="D19" s="1446"/>
      <c r="E19" s="1446"/>
      <c r="F19" s="1445"/>
      <c r="G19" s="1446"/>
      <c r="H19" s="1446"/>
      <c r="I19" s="1436"/>
      <c r="J19" s="1446">
        <f t="shared" ref="J19:J32" si="1">SUM(C19:I19)</f>
        <v>0</v>
      </c>
      <c r="K19" s="1434">
        <f>K17/K18*1000</f>
        <v>6267.1405488383352</v>
      </c>
      <c r="L19" s="1446"/>
      <c r="M19" s="1447"/>
      <c r="N19" s="1446"/>
      <c r="O19" s="1447">
        <f>'[1]затраты вспом.'!AM8</f>
        <v>6400</v>
      </c>
      <c r="P19" s="1437">
        <f>P17/P18*1000</f>
        <v>6273.4795683457687</v>
      </c>
      <c r="Q19" s="1438"/>
      <c r="R19" s="1437">
        <f>R17/R18*1000</f>
        <v>6273.4795683457687</v>
      </c>
    </row>
    <row r="20" spans="1:18" outlineLevel="1">
      <c r="A20" s="1417"/>
      <c r="B20" s="1418" t="s">
        <v>64</v>
      </c>
      <c r="C20" s="1419"/>
      <c r="D20" s="1420"/>
      <c r="E20" s="1420"/>
      <c r="F20" s="1419"/>
      <c r="G20" s="1420"/>
      <c r="H20" s="1420"/>
      <c r="I20" s="1421"/>
      <c r="J20" s="1420">
        <f t="shared" si="1"/>
        <v>0</v>
      </c>
      <c r="K20" s="1427">
        <f>'[1]затраты вспом.'!AC9</f>
        <v>5866.96</v>
      </c>
      <c r="L20" s="1420">
        <f>'[1]затраты вспом.'!AG9</f>
        <v>0</v>
      </c>
      <c r="M20" s="1421"/>
      <c r="N20" s="1420"/>
      <c r="O20" s="1421"/>
      <c r="P20" s="1444">
        <f>SUM(J20:O20)</f>
        <v>5866.96</v>
      </c>
      <c r="Q20" s="1442"/>
      <c r="R20" s="1424">
        <f>P20+Q20</f>
        <v>5866.96</v>
      </c>
    </row>
    <row r="21" spans="1:18" s="1429" customFormat="1" outlineLevel="2">
      <c r="A21" s="1425"/>
      <c r="B21" s="1418" t="s">
        <v>65</v>
      </c>
      <c r="C21" s="1419"/>
      <c r="D21" s="1420"/>
      <c r="E21" s="1420"/>
      <c r="F21" s="1419"/>
      <c r="G21" s="1420"/>
      <c r="H21" s="1420"/>
      <c r="I21" s="1421"/>
      <c r="J21" s="1420">
        <f t="shared" si="1"/>
        <v>0</v>
      </c>
      <c r="K21" s="1427">
        <f>'[1]затраты вспом.'!AC10</f>
        <v>994.4</v>
      </c>
      <c r="L21" s="1420">
        <f>'[1]затраты вспом.'!AG10</f>
        <v>0</v>
      </c>
      <c r="M21" s="1421"/>
      <c r="N21" s="1420"/>
      <c r="O21" s="1421"/>
      <c r="P21" s="1444">
        <f>SUM(J21:O21)</f>
        <v>994.4</v>
      </c>
      <c r="Q21" s="1428"/>
      <c r="R21" s="1424">
        <f>P21+Q21</f>
        <v>994.4</v>
      </c>
    </row>
    <row r="22" spans="1:18" s="1439" customFormat="1" outlineLevel="2">
      <c r="A22" s="1430"/>
      <c r="B22" s="1431" t="s">
        <v>63</v>
      </c>
      <c r="C22" s="1445"/>
      <c r="D22" s="1446"/>
      <c r="E22" s="1446"/>
      <c r="F22" s="1445"/>
      <c r="G22" s="1446"/>
      <c r="H22" s="1446"/>
      <c r="I22" s="1436"/>
      <c r="J22" s="1446">
        <f t="shared" si="1"/>
        <v>0</v>
      </c>
      <c r="K22" s="1434">
        <f>K20/K21*1000</f>
        <v>5900</v>
      </c>
      <c r="L22" s="1434"/>
      <c r="M22" s="1447"/>
      <c r="N22" s="1448"/>
      <c r="O22" s="1447"/>
      <c r="P22" s="1437">
        <f>P20/P21*1000</f>
        <v>5900</v>
      </c>
      <c r="Q22" s="1438"/>
      <c r="R22" s="1437">
        <f>R20/R21*1000</f>
        <v>5900</v>
      </c>
    </row>
    <row r="23" spans="1:18" outlineLevel="1">
      <c r="A23" s="1417"/>
      <c r="B23" s="1418" t="s">
        <v>66</v>
      </c>
      <c r="C23" s="1419"/>
      <c r="D23" s="1420"/>
      <c r="E23" s="1420"/>
      <c r="F23" s="1419"/>
      <c r="G23" s="1420"/>
      <c r="H23" s="1420"/>
      <c r="I23" s="1421">
        <f>'[1]пром.пр-во'!H10</f>
        <v>165.75</v>
      </c>
      <c r="J23" s="1420">
        <f t="shared" si="1"/>
        <v>165.75</v>
      </c>
      <c r="K23" s="1427">
        <f>'[1]затраты вспом.'!AC12</f>
        <v>1282.23648</v>
      </c>
      <c r="L23" s="1420"/>
      <c r="M23" s="1421"/>
      <c r="N23" s="1427">
        <f>'[1]затраты вспом.'!AK12</f>
        <v>167.03280000000001</v>
      </c>
      <c r="O23" s="1421"/>
      <c r="P23" s="1444">
        <f>SUM(J23:O23)</f>
        <v>1615.01928</v>
      </c>
      <c r="Q23" s="1442"/>
      <c r="R23" s="1424">
        <f>P23+Q23</f>
        <v>1615.01928</v>
      </c>
    </row>
    <row r="24" spans="1:18" s="1429" customFormat="1" outlineLevel="2">
      <c r="A24" s="1425"/>
      <c r="B24" s="1418" t="s">
        <v>12</v>
      </c>
      <c r="C24" s="1419"/>
      <c r="D24" s="1420"/>
      <c r="E24" s="1420"/>
      <c r="F24" s="1419"/>
      <c r="G24" s="1420"/>
      <c r="H24" s="1420"/>
      <c r="I24" s="1421">
        <f>'[1]пром.пр-во'!H11</f>
        <v>12.75</v>
      </c>
      <c r="J24" s="1420">
        <f t="shared" si="1"/>
        <v>12.75</v>
      </c>
      <c r="K24" s="1427">
        <f>'[1]затраты вспом.'!AC13</f>
        <v>57.758400000000002</v>
      </c>
      <c r="L24" s="1420"/>
      <c r="M24" s="1421"/>
      <c r="N24" s="1427">
        <f>'[1]затраты вспом.'!AK13</f>
        <v>7.524</v>
      </c>
      <c r="O24" s="1421"/>
      <c r="P24" s="1444">
        <f>SUM(J24:O24)</f>
        <v>78.032399999999996</v>
      </c>
      <c r="Q24" s="1428"/>
      <c r="R24" s="1424">
        <f>P24+Q24</f>
        <v>78.032399999999996</v>
      </c>
    </row>
    <row r="25" spans="1:18" s="1439" customFormat="1" outlineLevel="2">
      <c r="A25" s="1430"/>
      <c r="B25" s="1431" t="s">
        <v>63</v>
      </c>
      <c r="C25" s="1445"/>
      <c r="D25" s="1446"/>
      <c r="E25" s="1446"/>
      <c r="F25" s="1445"/>
      <c r="G25" s="1446"/>
      <c r="H25" s="1446"/>
      <c r="I25" s="1435">
        <f>I23/I24*1000</f>
        <v>13000</v>
      </c>
      <c r="J25" s="1446">
        <f t="shared" si="1"/>
        <v>13000</v>
      </c>
      <c r="K25" s="1434">
        <f>K23/K24*1000</f>
        <v>22200</v>
      </c>
      <c r="L25" s="1434"/>
      <c r="M25" s="1447"/>
      <c r="N25" s="1434">
        <f>N23/N24*1000</f>
        <v>22200.000000000004</v>
      </c>
      <c r="O25" s="1447"/>
      <c r="P25" s="1437">
        <f>P23/P24*1000</f>
        <v>20696.7782613376</v>
      </c>
      <c r="Q25" s="1438"/>
      <c r="R25" s="1437">
        <f>R23/R24*1000</f>
        <v>20696.7782613376</v>
      </c>
    </row>
    <row r="26" spans="1:18" outlineLevel="1">
      <c r="A26" s="1417"/>
      <c r="B26" s="1418" t="s">
        <v>67</v>
      </c>
      <c r="C26" s="1419"/>
      <c r="D26" s="1420">
        <f>'св-во шув-2 план'!K17</f>
        <v>428.99999999999994</v>
      </c>
      <c r="E26" s="1420">
        <f>'св-во шув-2 план'!M17</f>
        <v>165</v>
      </c>
      <c r="F26" s="1419"/>
      <c r="G26" s="1420"/>
      <c r="H26" s="1420"/>
      <c r="I26" s="1449">
        <f>I27*I28/1000</f>
        <v>0</v>
      </c>
      <c r="J26" s="1420">
        <f t="shared" si="1"/>
        <v>594</v>
      </c>
      <c r="K26" s="1427">
        <f>'[1]затраты вспом.'!AC15</f>
        <v>6571.1249999999982</v>
      </c>
      <c r="L26" s="1420">
        <f>'[1]затраты вспом.'!AG15</f>
        <v>0</v>
      </c>
      <c r="M26" s="1421"/>
      <c r="N26" s="1427">
        <f>'[1]затраты вспом.'!AK15</f>
        <v>0</v>
      </c>
      <c r="O26" s="1421"/>
      <c r="P26" s="1444">
        <f>SUM(J26:O26)</f>
        <v>7165.1249999999982</v>
      </c>
      <c r="Q26" s="1442"/>
      <c r="R26" s="1424">
        <f>P26+Q26</f>
        <v>7165.1249999999982</v>
      </c>
    </row>
    <row r="27" spans="1:18" s="1429" customFormat="1" outlineLevel="2">
      <c r="A27" s="1425"/>
      <c r="B27" s="1418" t="s">
        <v>69</v>
      </c>
      <c r="C27" s="1419"/>
      <c r="D27" s="1420">
        <f>'св-во шув-2 план'!K18</f>
        <v>13</v>
      </c>
      <c r="E27" s="1420">
        <f>'св-во шув-2 план'!M18</f>
        <v>5</v>
      </c>
      <c r="F27" s="1419"/>
      <c r="G27" s="1420"/>
      <c r="H27" s="1420"/>
      <c r="I27" s="1421"/>
      <c r="J27" s="1420">
        <f t="shared" si="1"/>
        <v>18</v>
      </c>
      <c r="K27" s="1427">
        <f>'[1]затраты вспом.'!AC16</f>
        <v>199.125</v>
      </c>
      <c r="L27" s="1420">
        <f>'[1]затраты вспом.'!AG16</f>
        <v>0</v>
      </c>
      <c r="M27" s="1421"/>
      <c r="N27" s="1427">
        <f>'[1]затраты вспом.'!AK16</f>
        <v>0</v>
      </c>
      <c r="O27" s="1421"/>
      <c r="P27" s="1444">
        <f>SUM(J27:O27)</f>
        <v>217.125</v>
      </c>
      <c r="Q27" s="1428"/>
      <c r="R27" s="1424">
        <f>P27+Q27</f>
        <v>217.125</v>
      </c>
    </row>
    <row r="28" spans="1:18" s="1439" customFormat="1" outlineLevel="2">
      <c r="A28" s="1430"/>
      <c r="B28" s="1431" t="s">
        <v>63</v>
      </c>
      <c r="C28" s="1445"/>
      <c r="D28" s="1434">
        <f>D26/D27*1000</f>
        <v>32999.999999999993</v>
      </c>
      <c r="E28" s="1434">
        <f>E26/E27*1000</f>
        <v>33000</v>
      </c>
      <c r="F28" s="1445"/>
      <c r="G28" s="1434"/>
      <c r="H28" s="1434"/>
      <c r="I28" s="1450"/>
      <c r="J28" s="1434">
        <f>J26/J27*1000</f>
        <v>33000</v>
      </c>
      <c r="K28" s="1434">
        <f>K26/K27*1000</f>
        <v>32999.999999999993</v>
      </c>
      <c r="L28" s="1434"/>
      <c r="M28" s="1447"/>
      <c r="N28" s="1446"/>
      <c r="O28" s="1447"/>
      <c r="P28" s="1437">
        <f>P26/P27*1000</f>
        <v>32999.999999999993</v>
      </c>
      <c r="Q28" s="1438"/>
      <c r="R28" s="1437">
        <f>R26/R27*1000</f>
        <v>32999.999999999993</v>
      </c>
    </row>
    <row r="29" spans="1:18" outlineLevel="1">
      <c r="A29" s="1417"/>
      <c r="B29" s="1418" t="s">
        <v>68</v>
      </c>
      <c r="C29" s="1419"/>
      <c r="D29" s="1420"/>
      <c r="E29" s="1420"/>
      <c r="F29" s="1419"/>
      <c r="G29" s="1420"/>
      <c r="H29" s="1420"/>
      <c r="I29" s="1421"/>
      <c r="J29" s="1420">
        <f t="shared" si="1"/>
        <v>0</v>
      </c>
      <c r="K29" s="1427">
        <f>'[1]затраты вспом.'!AC18</f>
        <v>614.62799999999982</v>
      </c>
      <c r="L29" s="1420">
        <f>'[1]затраты вспом.'!AG18</f>
        <v>1.0079999999999998</v>
      </c>
      <c r="M29" s="1421"/>
      <c r="N29" s="1427">
        <f>'[1]затраты вспом.'!AK18</f>
        <v>731.52</v>
      </c>
      <c r="O29" s="1421"/>
      <c r="P29" s="1444">
        <f>SUM(J29:O29)</f>
        <v>1347.1559999999999</v>
      </c>
      <c r="Q29" s="1442"/>
      <c r="R29" s="1424">
        <f>P29+Q29</f>
        <v>1347.1559999999999</v>
      </c>
    </row>
    <row r="30" spans="1:18" s="1429" customFormat="1" outlineLevel="2">
      <c r="A30" s="1425"/>
      <c r="B30" s="1418" t="s">
        <v>69</v>
      </c>
      <c r="C30" s="1419"/>
      <c r="D30" s="1420"/>
      <c r="E30" s="1420"/>
      <c r="F30" s="1419"/>
      <c r="G30" s="1420"/>
      <c r="H30" s="1420"/>
      <c r="I30" s="1421"/>
      <c r="J30" s="1420">
        <f t="shared" si="1"/>
        <v>0</v>
      </c>
      <c r="K30" s="1427">
        <f>'[1]затраты вспом.'!AC19</f>
        <v>18.292500000000004</v>
      </c>
      <c r="L30" s="1420">
        <f>'[1]затраты вспом.'!AG19</f>
        <v>0.03</v>
      </c>
      <c r="M30" s="1421"/>
      <c r="N30" s="1427">
        <f>'[1]затраты вспом.'!AK19</f>
        <v>20.7</v>
      </c>
      <c r="O30" s="1421"/>
      <c r="P30" s="1444">
        <f>SUM(J30:O30)</f>
        <v>39.022500000000008</v>
      </c>
      <c r="Q30" s="1428"/>
      <c r="R30" s="1424">
        <f>P30+Q30</f>
        <v>39.022500000000008</v>
      </c>
    </row>
    <row r="31" spans="1:18" s="1439" customFormat="1" outlineLevel="2">
      <c r="A31" s="1430"/>
      <c r="B31" s="1431" t="s">
        <v>63</v>
      </c>
      <c r="C31" s="1445"/>
      <c r="D31" s="1446"/>
      <c r="E31" s="1446"/>
      <c r="F31" s="1445"/>
      <c r="G31" s="1446"/>
      <c r="H31" s="1446"/>
      <c r="I31" s="1447"/>
      <c r="J31" s="1446">
        <f t="shared" si="1"/>
        <v>0</v>
      </c>
      <c r="K31" s="1434">
        <f>K29/K30*1000</f>
        <v>33599.999999999978</v>
      </c>
      <c r="L31" s="1434">
        <f>L29/L30*1000</f>
        <v>33599.999999999993</v>
      </c>
      <c r="M31" s="1447"/>
      <c r="N31" s="1434">
        <f>N29/N30*1000</f>
        <v>35339.130434782608</v>
      </c>
      <c r="O31" s="1447"/>
      <c r="P31" s="1437">
        <f>P29/P30*1000</f>
        <v>34522.544685758206</v>
      </c>
      <c r="Q31" s="1438"/>
      <c r="R31" s="1437">
        <f>R29/R30*1000</f>
        <v>34522.544685758206</v>
      </c>
    </row>
    <row r="32" spans="1:18" s="1429" customFormat="1" outlineLevel="2">
      <c r="A32" s="1425"/>
      <c r="B32" s="1418" t="s">
        <v>128</v>
      </c>
      <c r="C32" s="1419"/>
      <c r="D32" s="1420"/>
      <c r="E32" s="1420"/>
      <c r="F32" s="1419"/>
      <c r="G32" s="1420"/>
      <c r="H32" s="1420"/>
      <c r="I32" s="1421">
        <f>'[1]пром.пр-во'!H19</f>
        <v>32.25</v>
      </c>
      <c r="J32" s="1420">
        <f t="shared" si="1"/>
        <v>32.25</v>
      </c>
      <c r="K32" s="1427">
        <f>'[1]затраты вспом.'!AC21</f>
        <v>346.23249626666666</v>
      </c>
      <c r="L32" s="1451"/>
      <c r="M32" s="1421"/>
      <c r="N32" s="1427">
        <f>'[1]затраты вспом.'!AK21</f>
        <v>37.071382400000005</v>
      </c>
      <c r="O32" s="1421"/>
      <c r="P32" s="1444">
        <f>SUM(J32:O32)</f>
        <v>415.55387866666666</v>
      </c>
      <c r="Q32" s="1442"/>
      <c r="R32" s="1424">
        <f>P32+Q32</f>
        <v>415.55387866666666</v>
      </c>
    </row>
    <row r="33" spans="1:19" outlineLevel="1">
      <c r="A33" s="1417"/>
      <c r="B33" s="1418" t="s">
        <v>99</v>
      </c>
      <c r="C33" s="1419"/>
      <c r="D33" s="1420"/>
      <c r="E33" s="1420"/>
      <c r="F33" s="1419"/>
      <c r="G33" s="1420"/>
      <c r="H33" s="1420"/>
      <c r="I33" s="1421">
        <f>'[1]пром.пр-во'!H20</f>
        <v>36614.125354433745</v>
      </c>
      <c r="J33" s="1420">
        <f>SUM(C33:I33)</f>
        <v>36614.125354433745</v>
      </c>
      <c r="K33" s="1421"/>
      <c r="L33" s="1420"/>
      <c r="M33" s="1421"/>
      <c r="N33" s="1427"/>
      <c r="O33" s="1421"/>
      <c r="P33" s="1444">
        <f>SUM(J33:O33)</f>
        <v>36614.125354433745</v>
      </c>
      <c r="Q33" s="1442"/>
      <c r="R33" s="1424">
        <f>P33+Q33</f>
        <v>36614.125354433745</v>
      </c>
    </row>
    <row r="34" spans="1:19" s="1429" customFormat="1" outlineLevel="2">
      <c r="A34" s="1425"/>
      <c r="B34" s="1418" t="s">
        <v>12</v>
      </c>
      <c r="C34" s="1419"/>
      <c r="D34" s="1420"/>
      <c r="E34" s="1420"/>
      <c r="F34" s="1419"/>
      <c r="G34" s="1420"/>
      <c r="H34" s="1420"/>
      <c r="I34" s="1421">
        <f>'[1]пром.пр-во'!H21</f>
        <v>385.41184583614466</v>
      </c>
      <c r="J34" s="1420">
        <f>SUM(C34:I34)</f>
        <v>385.41184583614466</v>
      </c>
      <c r="K34" s="1421"/>
      <c r="L34" s="1420"/>
      <c r="M34" s="1421"/>
      <c r="N34" s="1420"/>
      <c r="O34" s="1421"/>
      <c r="P34" s="1444">
        <f>SUM(J34:O34)</f>
        <v>385.41184583614466</v>
      </c>
      <c r="Q34" s="1428"/>
      <c r="R34" s="1424">
        <f>P34+Q34</f>
        <v>385.41184583614466</v>
      </c>
    </row>
    <row r="35" spans="1:19" s="1439" customFormat="1" outlineLevel="2">
      <c r="A35" s="1430"/>
      <c r="B35" s="1431" t="s">
        <v>63</v>
      </c>
      <c r="C35" s="1445"/>
      <c r="D35" s="1446"/>
      <c r="E35" s="1446"/>
      <c r="F35" s="1445"/>
      <c r="G35" s="1446"/>
      <c r="H35" s="1446"/>
      <c r="I35" s="1435">
        <f>I33/I34*1000</f>
        <v>95000</v>
      </c>
      <c r="J35" s="1434">
        <f>J33/J34*1000</f>
        <v>95000</v>
      </c>
      <c r="K35" s="1447"/>
      <c r="L35" s="1446"/>
      <c r="M35" s="1447"/>
      <c r="N35" s="1446"/>
      <c r="O35" s="1447"/>
      <c r="P35" s="1437">
        <f>P33/P34*1000</f>
        <v>95000</v>
      </c>
      <c r="Q35" s="1438"/>
      <c r="R35" s="1452">
        <f>R33/R34*1000</f>
        <v>95000</v>
      </c>
    </row>
    <row r="36" spans="1:19" s="1429" customFormat="1" outlineLevel="1">
      <c r="A36" s="1425"/>
      <c r="B36" s="1418" t="s">
        <v>409</v>
      </c>
      <c r="C36" s="1419"/>
      <c r="D36" s="1420"/>
      <c r="E36" s="1420"/>
      <c r="F36" s="1419"/>
      <c r="G36" s="1420"/>
      <c r="H36" s="1420"/>
      <c r="I36" s="1421"/>
      <c r="J36" s="1420">
        <f t="shared" ref="J36:J44" si="2">SUM(C36:I36)</f>
        <v>0</v>
      </c>
      <c r="K36" s="1421"/>
      <c r="L36" s="1420"/>
      <c r="M36" s="1421"/>
      <c r="N36" s="1420"/>
      <c r="O36" s="1421"/>
      <c r="P36" s="1444">
        <f t="shared" ref="P36:P48" si="3">SUM(J36:O36)</f>
        <v>0</v>
      </c>
      <c r="Q36" s="1428"/>
      <c r="R36" s="1424">
        <f t="shared" ref="R36:R59" si="4">P36+Q36</f>
        <v>0</v>
      </c>
    </row>
    <row r="37" spans="1:19" s="1429" customFormat="1" outlineLevel="1">
      <c r="A37" s="1425"/>
      <c r="B37" s="1418" t="s">
        <v>410</v>
      </c>
      <c r="C37" s="1419"/>
      <c r="D37" s="1420"/>
      <c r="E37" s="1420"/>
      <c r="F37" s="1419"/>
      <c r="G37" s="1420"/>
      <c r="H37" s="1420"/>
      <c r="I37" s="1421"/>
      <c r="J37" s="1420">
        <f t="shared" si="2"/>
        <v>0</v>
      </c>
      <c r="K37" s="1421"/>
      <c r="L37" s="1420"/>
      <c r="M37" s="1421"/>
      <c r="N37" s="1420"/>
      <c r="O37" s="1421"/>
      <c r="P37" s="1444">
        <f t="shared" si="3"/>
        <v>0</v>
      </c>
      <c r="Q37" s="1428"/>
      <c r="R37" s="1424">
        <f t="shared" si="4"/>
        <v>0</v>
      </c>
    </row>
    <row r="38" spans="1:19" s="1429" customFormat="1" outlineLevel="1">
      <c r="A38" s="1425"/>
      <c r="B38" s="1418" t="s">
        <v>100</v>
      </c>
      <c r="C38" s="1419"/>
      <c r="D38" s="1420"/>
      <c r="E38" s="1420"/>
      <c r="F38" s="1419"/>
      <c r="G38" s="1420"/>
      <c r="H38" s="1420"/>
      <c r="I38" s="1421">
        <f>'[1]пром.пр-во'!H23</f>
        <v>23490.893925203625</v>
      </c>
      <c r="J38" s="1420">
        <f t="shared" si="2"/>
        <v>23490.893925203625</v>
      </c>
      <c r="K38" s="1421"/>
      <c r="L38" s="1420"/>
      <c r="M38" s="1421"/>
      <c r="N38" s="1420"/>
      <c r="O38" s="1421"/>
      <c r="P38" s="1444">
        <f t="shared" si="3"/>
        <v>23490.893925203625</v>
      </c>
      <c r="Q38" s="1442"/>
      <c r="R38" s="1424">
        <f t="shared" si="4"/>
        <v>23490.893925203625</v>
      </c>
    </row>
    <row r="39" spans="1:19" s="1429" customFormat="1" outlineLevel="1">
      <c r="A39" s="1425"/>
      <c r="B39" s="1418" t="s">
        <v>101</v>
      </c>
      <c r="C39" s="1419"/>
      <c r="D39" s="1420"/>
      <c r="E39" s="1420"/>
      <c r="F39" s="1419"/>
      <c r="G39" s="1420"/>
      <c r="H39" s="1420"/>
      <c r="I39" s="1421"/>
      <c r="J39" s="1420">
        <f t="shared" si="2"/>
        <v>0</v>
      </c>
      <c r="K39" s="1421"/>
      <c r="L39" s="1420"/>
      <c r="M39" s="1421"/>
      <c r="N39" s="1420"/>
      <c r="O39" s="1421"/>
      <c r="P39" s="1444">
        <f t="shared" si="3"/>
        <v>0</v>
      </c>
      <c r="Q39" s="1428"/>
      <c r="R39" s="1424">
        <f t="shared" si="4"/>
        <v>0</v>
      </c>
    </row>
    <row r="40" spans="1:19" s="1429" customFormat="1" outlineLevel="1">
      <c r="A40" s="1425"/>
      <c r="B40" s="1418" t="s">
        <v>129</v>
      </c>
      <c r="C40" s="1419"/>
      <c r="D40" s="1420"/>
      <c r="E40" s="1420"/>
      <c r="F40" s="1419"/>
      <c r="G40" s="1420"/>
      <c r="H40" s="1420"/>
      <c r="I40" s="1421"/>
      <c r="J40" s="1420">
        <f t="shared" si="2"/>
        <v>0</v>
      </c>
      <c r="K40" s="1421"/>
      <c r="L40" s="1420"/>
      <c r="M40" s="1421"/>
      <c r="N40" s="1420"/>
      <c r="O40" s="1421"/>
      <c r="P40" s="1444">
        <f t="shared" si="3"/>
        <v>0</v>
      </c>
      <c r="Q40" s="1428"/>
      <c r="R40" s="1424">
        <f t="shared" si="4"/>
        <v>0</v>
      </c>
    </row>
    <row r="41" spans="1:19" ht="22.5" outlineLevel="1">
      <c r="A41" s="1417"/>
      <c r="B41" s="1453" t="s">
        <v>71</v>
      </c>
      <c r="C41" s="1419">
        <f>'св-во ш-1 план'!L17</f>
        <v>1483.28</v>
      </c>
      <c r="D41" s="1420">
        <f>'св-во шув-2 план'!K20</f>
        <v>3098.2860000000001</v>
      </c>
      <c r="E41" s="1420">
        <f>'св-во шув-2 план'!M20</f>
        <v>3205.13</v>
      </c>
      <c r="F41" s="1419">
        <f>'КРС план'!J18</f>
        <v>1000</v>
      </c>
      <c r="G41" s="1420">
        <f>'КРС план'!H18</f>
        <v>314.16666666666669</v>
      </c>
      <c r="H41" s="1420">
        <f>'[1]затраты КРС'!G18</f>
        <v>0</v>
      </c>
      <c r="I41" s="1421">
        <f>'[1]пром.пр-во'!H24</f>
        <v>4348.9407608394995</v>
      </c>
      <c r="J41" s="1420">
        <f t="shared" si="2"/>
        <v>13449.803427506165</v>
      </c>
      <c r="K41" s="1427">
        <f>'[1]затраты вспом.'!AC22</f>
        <v>1059.5999999999999</v>
      </c>
      <c r="L41" s="1427">
        <f>'[1]затраты вспом.'!AG22</f>
        <v>3334.1662500000002</v>
      </c>
      <c r="M41" s="1427">
        <f>'[1]затраты вспом.'!AL22</f>
        <v>3618.5</v>
      </c>
      <c r="N41" s="1427">
        <f>'[1]затраты вспом.'!AK22</f>
        <v>528.97500000000002</v>
      </c>
      <c r="O41" s="1427">
        <f>'[1]затраты вспом.'!AM22</f>
        <v>3041.5512499999995</v>
      </c>
      <c r="P41" s="1444">
        <f t="shared" si="3"/>
        <v>25032.595927506165</v>
      </c>
      <c r="Q41" s="1423"/>
      <c r="R41" s="1424">
        <f t="shared" si="4"/>
        <v>25032.595927506165</v>
      </c>
    </row>
    <row r="42" spans="1:19" s="1402" customFormat="1">
      <c r="A42" s="1397"/>
      <c r="B42" s="1454" t="s">
        <v>549</v>
      </c>
      <c r="C42" s="1419">
        <f>'св-во ш-1 план'!L18</f>
        <v>0</v>
      </c>
      <c r="D42" s="1420">
        <f>'св-во шув-2 план'!K21</f>
        <v>12256.528840000001</v>
      </c>
      <c r="E42" s="1420">
        <f>'св-во шув-2 план'!M21</f>
        <v>11089.93008</v>
      </c>
      <c r="F42" s="1419">
        <f>'КРС план'!J19</f>
        <v>60.863399999999999</v>
      </c>
      <c r="G42" s="1420">
        <f>'КРС план'!H19</f>
        <v>1015.5800200000001</v>
      </c>
      <c r="H42" s="1420"/>
      <c r="I42" s="1421">
        <f>'[1]пром.пр-во'!H25</f>
        <v>9087.5859900000014</v>
      </c>
      <c r="J42" s="1422">
        <f t="shared" si="2"/>
        <v>33510.48833</v>
      </c>
      <c r="K42" s="1427">
        <f>'[1]затраты вспом.'!AC23</f>
        <v>6982.2189599999992</v>
      </c>
      <c r="L42" s="1427">
        <f>'[1]затраты вспом.'!AG23</f>
        <v>11910.009480000001</v>
      </c>
      <c r="M42" s="1427">
        <f>'[1]затраты вспом.'!AL23</f>
        <v>66.580559999999991</v>
      </c>
      <c r="N42" s="1427">
        <f>'[1]затраты вспом.'!AK23</f>
        <v>703.77398999999991</v>
      </c>
      <c r="O42" s="1427">
        <f>'[1]затраты вспом.'!AM23</f>
        <v>304.99556999999999</v>
      </c>
      <c r="P42" s="1444">
        <f t="shared" si="3"/>
        <v>53478.066890000002</v>
      </c>
      <c r="Q42" s="1455"/>
      <c r="R42" s="1456">
        <f t="shared" si="4"/>
        <v>53478.066890000002</v>
      </c>
    </row>
    <row r="43" spans="1:19" s="1402" customFormat="1">
      <c r="A43" s="1397"/>
      <c r="B43" s="1454" t="s">
        <v>73</v>
      </c>
      <c r="C43" s="1419">
        <f>'св-во ш-1 план'!L19</f>
        <v>5400</v>
      </c>
      <c r="D43" s="1420">
        <f>'св-во шув-2 план'!K22</f>
        <v>3990</v>
      </c>
      <c r="E43" s="1420">
        <f>'св-во шув-2 план'!M22</f>
        <v>3330</v>
      </c>
      <c r="F43" s="1419">
        <f>'КРС план'!J20</f>
        <v>1320</v>
      </c>
      <c r="G43" s="1420">
        <f>'КРС план'!H20</f>
        <v>1130</v>
      </c>
      <c r="H43" s="1420">
        <f>'[1]затраты КРС'!G20</f>
        <v>0</v>
      </c>
      <c r="I43" s="1421">
        <f>'[1]пром.пр-во'!H26</f>
        <v>22905</v>
      </c>
      <c r="J43" s="1422">
        <f>SUM(C43:I43)</f>
        <v>38075</v>
      </c>
      <c r="K43" s="1427">
        <f>'[1]затраты вспом.'!AC24</f>
        <v>17278.8</v>
      </c>
      <c r="L43" s="1427">
        <f>'[1]затраты вспом.'!AG24</f>
        <v>5146.8</v>
      </c>
      <c r="M43" s="1427">
        <f>'[1]затраты вспом.'!AL24</f>
        <v>792</v>
      </c>
      <c r="N43" s="1427">
        <f>'[1]затраты вспом.'!AK24</f>
        <v>16125</v>
      </c>
      <c r="O43" s="1427">
        <f>'[1]затраты вспом.'!AM24</f>
        <v>14520</v>
      </c>
      <c r="P43" s="1444">
        <f>SUM(J43:O43)</f>
        <v>91937.600000000006</v>
      </c>
      <c r="Q43" s="1455"/>
      <c r="R43" s="1456">
        <f>P43+Q43</f>
        <v>91937.600000000006</v>
      </c>
    </row>
    <row r="44" spans="1:19" s="1402" customFormat="1">
      <c r="A44" s="1397"/>
      <c r="B44" s="1454" t="s">
        <v>74</v>
      </c>
      <c r="C44" s="1419">
        <f>C43*'вспом. план'!$M$1</f>
        <v>1684.8</v>
      </c>
      <c r="D44" s="1419">
        <f>D43*'вспом. план'!$M$1</f>
        <v>1244.8800000000001</v>
      </c>
      <c r="E44" s="1419">
        <f>E43*'вспом. план'!$M$1</f>
        <v>1038.96</v>
      </c>
      <c r="F44" s="1419">
        <f>F43*'вспом. план'!$M$1</f>
        <v>411.84</v>
      </c>
      <c r="G44" s="1419">
        <f>G43*'вспом. план'!$M$1</f>
        <v>352.56</v>
      </c>
      <c r="H44" s="1419">
        <f>H43*'вспом. план'!$M$1</f>
        <v>0</v>
      </c>
      <c r="I44" s="1419">
        <f>I43*'вспом. план'!$M$1</f>
        <v>7146.36</v>
      </c>
      <c r="J44" s="1422">
        <f t="shared" si="2"/>
        <v>11879.400000000001</v>
      </c>
      <c r="K44" s="1419">
        <f>K43*'вспом. план'!$M$1</f>
        <v>5390.9856</v>
      </c>
      <c r="L44" s="1419">
        <f>L43*'вспом. план'!$M$1</f>
        <v>1605.8016</v>
      </c>
      <c r="M44" s="1419">
        <f>M43*'вспом. план'!$M$1</f>
        <v>247.10400000000001</v>
      </c>
      <c r="N44" s="1419">
        <f>N43*'вспом. план'!$M$1</f>
        <v>5031</v>
      </c>
      <c r="O44" s="1419">
        <f>O43*'вспом. план'!$M$1</f>
        <v>4530.24</v>
      </c>
      <c r="P44" s="1444">
        <f t="shared" si="3"/>
        <v>28684.531199999998</v>
      </c>
      <c r="Q44" s="1455"/>
      <c r="R44" s="1456">
        <f t="shared" si="4"/>
        <v>28684.531199999998</v>
      </c>
      <c r="S44" s="1457"/>
    </row>
    <row r="45" spans="1:19" s="1402" customFormat="1" ht="10.5">
      <c r="A45" s="1397"/>
      <c r="B45" s="1454" t="s">
        <v>75</v>
      </c>
      <c r="C45" s="1458">
        <f t="shared" ref="C45:O45" si="5">C46+C47+C48</f>
        <v>200</v>
      </c>
      <c r="D45" s="1422">
        <f t="shared" si="5"/>
        <v>0</v>
      </c>
      <c r="E45" s="1422">
        <f t="shared" si="5"/>
        <v>7007.6</v>
      </c>
      <c r="F45" s="1458">
        <f t="shared" si="5"/>
        <v>100</v>
      </c>
      <c r="G45" s="1422">
        <f t="shared" si="5"/>
        <v>125</v>
      </c>
      <c r="H45" s="1422">
        <f t="shared" si="5"/>
        <v>0</v>
      </c>
      <c r="I45" s="1459">
        <f t="shared" si="5"/>
        <v>1982.25</v>
      </c>
      <c r="J45" s="1422">
        <f>J46+J47+J48</f>
        <v>9414.85</v>
      </c>
      <c r="K45" s="1458">
        <f t="shared" si="5"/>
        <v>8094.15</v>
      </c>
      <c r="L45" s="1422">
        <f t="shared" si="5"/>
        <v>502.5</v>
      </c>
      <c r="M45" s="1460">
        <f t="shared" si="5"/>
        <v>429</v>
      </c>
      <c r="N45" s="1422">
        <f t="shared" si="5"/>
        <v>1772.4649999999999</v>
      </c>
      <c r="O45" s="1461">
        <f t="shared" si="5"/>
        <v>387.5</v>
      </c>
      <c r="P45" s="1444">
        <f t="shared" si="3"/>
        <v>20600.465</v>
      </c>
      <c r="Q45" s="1455"/>
      <c r="R45" s="1422">
        <f>R46+R47+R48</f>
        <v>20600.465</v>
      </c>
    </row>
    <row r="46" spans="1:19">
      <c r="A46" s="1417"/>
      <c r="B46" s="1462" t="s">
        <v>130</v>
      </c>
      <c r="C46" s="1419">
        <f>'св-во ш-1 план'!L22</f>
        <v>200</v>
      </c>
      <c r="D46" s="1420">
        <f>'св-во шув-2 план'!K25</f>
        <v>0</v>
      </c>
      <c r="E46" s="1420">
        <f>'св-во шув-2 план'!M25</f>
        <v>6346.6</v>
      </c>
      <c r="F46" s="1419">
        <f>'КРС план'!J23</f>
        <v>100</v>
      </c>
      <c r="G46" s="1420">
        <f>'КРС план'!H23</f>
        <v>125</v>
      </c>
      <c r="H46" s="1420">
        <f>'[1]затраты КРС'!G23</f>
        <v>0</v>
      </c>
      <c r="I46" s="1421">
        <f>'[1]пром.пр-во'!H29</f>
        <v>1982.25</v>
      </c>
      <c r="J46" s="1422">
        <f>SUM(C46:I46)</f>
        <v>8753.85</v>
      </c>
      <c r="K46" s="1427">
        <f>'[1]затраты вспом.'!AC27</f>
        <v>1990.2750000000001</v>
      </c>
      <c r="L46" s="1427">
        <f>'[1]затраты вспом.'!AG27</f>
        <v>502.5</v>
      </c>
      <c r="M46" s="1427">
        <f>'[1]затраты вспом.'!AL27</f>
        <v>309</v>
      </c>
      <c r="N46" s="1427">
        <f>'[1]затраты вспом.'!AK27</f>
        <v>340.79999999999995</v>
      </c>
      <c r="O46" s="1427">
        <f>'[1]затраты вспом.'!AM27</f>
        <v>387.5</v>
      </c>
      <c r="P46" s="1444">
        <f>SUM(J46:O46)</f>
        <v>12283.924999999999</v>
      </c>
      <c r="Q46" s="1423"/>
      <c r="R46" s="1424">
        <f t="shared" si="4"/>
        <v>12283.924999999999</v>
      </c>
    </row>
    <row r="47" spans="1:19" outlineLevel="1">
      <c r="A47" s="1417"/>
      <c r="B47" s="1462" t="s">
        <v>77</v>
      </c>
      <c r="C47" s="1419">
        <f>'св-во ш-1 план'!L23</f>
        <v>0</v>
      </c>
      <c r="D47" s="1420">
        <f>'св-во шув-2 план'!K26</f>
        <v>0</v>
      </c>
      <c r="E47" s="1420">
        <f>'св-во шув-2 план'!M26</f>
        <v>0</v>
      </c>
      <c r="F47" s="1419">
        <f>'[1]затраты КРС'!J24</f>
        <v>0</v>
      </c>
      <c r="G47" s="1420"/>
      <c r="H47" s="1420"/>
      <c r="I47" s="1421">
        <f>'[1]пром.пр-во'!H30</f>
        <v>0</v>
      </c>
      <c r="J47" s="1422">
        <f>SUM(C47:I47)</f>
        <v>0</v>
      </c>
      <c r="K47" s="1427">
        <f>'[1]затраты вспом.'!AC28</f>
        <v>3607.5</v>
      </c>
      <c r="L47" s="1427">
        <f>'[1]затраты вспом.'!AG28</f>
        <v>0</v>
      </c>
      <c r="M47" s="1427">
        <f>'[1]затраты вспом.'!AL28</f>
        <v>0</v>
      </c>
      <c r="N47" s="1427">
        <f>'[1]затраты вспом.'!AK28</f>
        <v>265.5</v>
      </c>
      <c r="O47" s="1427"/>
      <c r="P47" s="1444">
        <f t="shared" si="3"/>
        <v>3873</v>
      </c>
      <c r="Q47" s="1423"/>
      <c r="R47" s="1424">
        <f t="shared" si="4"/>
        <v>3873</v>
      </c>
    </row>
    <row r="48" spans="1:19" ht="22.5" outlineLevel="1">
      <c r="A48" s="1417"/>
      <c r="B48" s="1462" t="s">
        <v>78</v>
      </c>
      <c r="C48" s="1419">
        <f>'св-во ш-1 план'!L24</f>
        <v>0</v>
      </c>
      <c r="D48" s="1420">
        <f>'св-во шув-2 план'!K27</f>
        <v>0</v>
      </c>
      <c r="E48" s="1420">
        <f>'св-во шув-2 план'!M27</f>
        <v>661</v>
      </c>
      <c r="F48" s="1419">
        <f>'[1]затраты КРС'!J25</f>
        <v>0</v>
      </c>
      <c r="G48" s="1420"/>
      <c r="H48" s="1420"/>
      <c r="I48" s="1421">
        <f>'[1]пром.пр-во'!H31</f>
        <v>0</v>
      </c>
      <c r="J48" s="1422">
        <f>SUM(C48:I48)</f>
        <v>661</v>
      </c>
      <c r="K48" s="1427">
        <f>'[1]затраты вспом.'!AC29</f>
        <v>2496.375</v>
      </c>
      <c r="L48" s="1427">
        <f>'[1]затраты вспом.'!AG29</f>
        <v>0</v>
      </c>
      <c r="M48" s="1427">
        <f>'[1]затраты вспом.'!AL29</f>
        <v>120</v>
      </c>
      <c r="N48" s="1427">
        <f>'[1]затраты вспом.'!AK29</f>
        <v>1166.165</v>
      </c>
      <c r="O48" s="1427"/>
      <c r="P48" s="1444">
        <f t="shared" si="3"/>
        <v>4443.54</v>
      </c>
      <c r="Q48" s="1423"/>
      <c r="R48" s="1424">
        <f t="shared" si="4"/>
        <v>4443.54</v>
      </c>
    </row>
    <row r="49" spans="1:21" s="1402" customFormat="1" ht="10.5">
      <c r="A49" s="1397"/>
      <c r="B49" s="1454" t="s">
        <v>79</v>
      </c>
      <c r="C49" s="1458">
        <f>SUM(C50:C59)</f>
        <v>2729.9999999999991</v>
      </c>
      <c r="D49" s="1422">
        <f>SUM(D50:D59)</f>
        <v>0</v>
      </c>
      <c r="E49" s="1422">
        <f>SUM(E50:E59)</f>
        <v>100</v>
      </c>
      <c r="F49" s="1422">
        <f t="shared" ref="F49:H49" si="6">SUM(F50:F59)</f>
        <v>0</v>
      </c>
      <c r="G49" s="1422">
        <f t="shared" si="6"/>
        <v>300</v>
      </c>
      <c r="H49" s="1422">
        <f t="shared" si="6"/>
        <v>0</v>
      </c>
      <c r="I49" s="1460">
        <f>SUM(I50:I59)</f>
        <v>3424.11</v>
      </c>
      <c r="J49" s="1422">
        <f t="shared" ref="J49:J59" si="7">SUM(C49:I49)</f>
        <v>6554.1099999999988</v>
      </c>
      <c r="K49" s="1463">
        <f t="shared" ref="K49:R49" si="8">SUM(K50:K59)</f>
        <v>5643.6</v>
      </c>
      <c r="L49" s="1422">
        <f t="shared" si="8"/>
        <v>6386.0528599999998</v>
      </c>
      <c r="M49" s="1460">
        <f t="shared" si="8"/>
        <v>66</v>
      </c>
      <c r="N49" s="1422">
        <f t="shared" si="8"/>
        <v>2609.25</v>
      </c>
      <c r="O49" s="1461">
        <f t="shared" si="8"/>
        <v>12255</v>
      </c>
      <c r="P49" s="1422">
        <f t="shared" si="8"/>
        <v>33514.012860000003</v>
      </c>
      <c r="Q49" s="1455"/>
      <c r="R49" s="1422">
        <f t="shared" si="8"/>
        <v>33514.012860000003</v>
      </c>
    </row>
    <row r="50" spans="1:21" outlineLevel="1">
      <c r="A50" s="1417"/>
      <c r="B50" s="1462" t="s">
        <v>524</v>
      </c>
      <c r="C50" s="1419">
        <f>'св-во ш-1 план'!L26</f>
        <v>2729.9999999999991</v>
      </c>
      <c r="D50" s="1420">
        <f>'св-во шув-2 план'!K29</f>
        <v>0</v>
      </c>
      <c r="E50" s="1420">
        <f>'св-во шув-2 план'!M29</f>
        <v>100</v>
      </c>
      <c r="F50" s="1419">
        <f>'КРС план'!J27</f>
        <v>0</v>
      </c>
      <c r="G50" s="1420">
        <f>'КРС план'!H27</f>
        <v>300</v>
      </c>
      <c r="H50" s="1420"/>
      <c r="I50" s="1421">
        <f>'[1]пром.пр-во'!H33</f>
        <v>3424.11</v>
      </c>
      <c r="J50" s="1420">
        <f t="shared" si="7"/>
        <v>6554.1099999999988</v>
      </c>
      <c r="K50" s="1427">
        <f>'[1]затраты вспом.'!AC31</f>
        <v>5568.6</v>
      </c>
      <c r="L50" s="1427">
        <f>'[1]затраты вспом.'!AG31</f>
        <v>6358.25</v>
      </c>
      <c r="M50" s="1427">
        <f>'[1]затраты вспом.'!AL31</f>
        <v>66</v>
      </c>
      <c r="N50" s="1427">
        <f>'[1]затраты вспом.'!AK31</f>
        <v>2110.0500000000002</v>
      </c>
      <c r="O50" s="1427">
        <f>'[1]затраты вспом.'!AM31</f>
        <v>5699</v>
      </c>
      <c r="P50" s="1444">
        <f t="shared" ref="P50:P59" si="9">SUM(J50:O50)</f>
        <v>26356.01</v>
      </c>
      <c r="Q50" s="1423"/>
      <c r="R50" s="1424">
        <f t="shared" si="4"/>
        <v>26356.01</v>
      </c>
    </row>
    <row r="51" spans="1:21" outlineLevel="1">
      <c r="A51" s="1417"/>
      <c r="B51" s="1464" t="s">
        <v>80</v>
      </c>
      <c r="C51" s="1419"/>
      <c r="D51" s="1420"/>
      <c r="E51" s="1420"/>
      <c r="F51" s="1419"/>
      <c r="G51" s="1420"/>
      <c r="H51" s="1420"/>
      <c r="I51" s="1421"/>
      <c r="J51" s="1420">
        <f t="shared" si="7"/>
        <v>0</v>
      </c>
      <c r="K51" s="1427"/>
      <c r="L51" s="1427"/>
      <c r="M51" s="1427"/>
      <c r="N51" s="1427">
        <f>'[1]затраты вспом.'!AK32</f>
        <v>0</v>
      </c>
      <c r="O51" s="1427"/>
      <c r="P51" s="1444">
        <f t="shared" si="9"/>
        <v>0</v>
      </c>
      <c r="Q51" s="1423"/>
      <c r="R51" s="1424">
        <f t="shared" si="4"/>
        <v>0</v>
      </c>
    </row>
    <row r="52" spans="1:21" outlineLevel="1">
      <c r="A52" s="1417"/>
      <c r="B52" s="1465" t="s">
        <v>131</v>
      </c>
      <c r="C52" s="1419"/>
      <c r="D52" s="1420"/>
      <c r="E52" s="1420"/>
      <c r="F52" s="1419"/>
      <c r="G52" s="1420"/>
      <c r="H52" s="1420"/>
      <c r="I52" s="1421">
        <f>'[1]пром.пр-во'!H34</f>
        <v>0</v>
      </c>
      <c r="J52" s="1420">
        <f t="shared" si="7"/>
        <v>0</v>
      </c>
      <c r="K52" s="1427">
        <f>'[1]затраты вспом.'!AC33</f>
        <v>0</v>
      </c>
      <c r="L52" s="1427">
        <f>'[1]затраты вспом.'!AG33</f>
        <v>27.802860000000003</v>
      </c>
      <c r="M52" s="1427"/>
      <c r="N52" s="1427">
        <f>'[1]затраты вспом.'!AK33</f>
        <v>0</v>
      </c>
      <c r="O52" s="1427">
        <f>'[1]затраты вспом.'!AM33</f>
        <v>3024</v>
      </c>
      <c r="P52" s="1444">
        <f t="shared" si="9"/>
        <v>3051.8028599999998</v>
      </c>
      <c r="Q52" s="1423"/>
      <c r="R52" s="1424">
        <f t="shared" si="4"/>
        <v>3051.8028599999998</v>
      </c>
    </row>
    <row r="53" spans="1:21" outlineLevel="1">
      <c r="A53" s="1417"/>
      <c r="B53" s="1466" t="s">
        <v>82</v>
      </c>
      <c r="C53" s="1419"/>
      <c r="D53" s="1420"/>
      <c r="E53" s="1420"/>
      <c r="F53" s="1419"/>
      <c r="G53" s="1420"/>
      <c r="H53" s="1420"/>
      <c r="I53" s="1421">
        <f>'[1]пром.пр-во'!H35</f>
        <v>0</v>
      </c>
      <c r="J53" s="1420">
        <f t="shared" si="7"/>
        <v>0</v>
      </c>
      <c r="K53" s="1427">
        <f>'[1]затраты вспом.'!AC34</f>
        <v>0</v>
      </c>
      <c r="L53" s="1427">
        <f>'[1]затраты вспом.'!AG34</f>
        <v>0</v>
      </c>
      <c r="M53" s="1427"/>
      <c r="N53" s="1427">
        <f>'[1]затраты вспом.'!AK34</f>
        <v>40.5</v>
      </c>
      <c r="O53" s="1427"/>
      <c r="P53" s="1444">
        <f t="shared" si="9"/>
        <v>40.5</v>
      </c>
      <c r="Q53" s="1423"/>
      <c r="R53" s="1424">
        <f t="shared" si="4"/>
        <v>40.5</v>
      </c>
    </row>
    <row r="54" spans="1:21" s="1402" customFormat="1" outlineLevel="1">
      <c r="A54" s="1397"/>
      <c r="B54" s="1466" t="s">
        <v>83</v>
      </c>
      <c r="C54" s="1419"/>
      <c r="D54" s="1420"/>
      <c r="E54" s="1420"/>
      <c r="F54" s="1419"/>
      <c r="G54" s="1420"/>
      <c r="H54" s="1420"/>
      <c r="I54" s="1421">
        <f>'[1]пром.пр-во'!H36</f>
        <v>0</v>
      </c>
      <c r="J54" s="1420">
        <f t="shared" si="7"/>
        <v>0</v>
      </c>
      <c r="K54" s="1427">
        <f>'[1]затраты вспом.'!AC35</f>
        <v>0</v>
      </c>
      <c r="L54" s="1427">
        <f>'[1]затраты вспом.'!AG35</f>
        <v>0</v>
      </c>
      <c r="M54" s="1427"/>
      <c r="N54" s="1427">
        <f>'[1]затраты вспом.'!AK35</f>
        <v>267</v>
      </c>
      <c r="O54" s="1427"/>
      <c r="P54" s="1444">
        <f t="shared" si="9"/>
        <v>267</v>
      </c>
      <c r="Q54" s="1455"/>
      <c r="R54" s="1424">
        <f t="shared" si="4"/>
        <v>267</v>
      </c>
    </row>
    <row r="55" spans="1:21" s="1402" customFormat="1" ht="33.75" outlineLevel="1">
      <c r="A55" s="1397"/>
      <c r="B55" s="1462" t="s">
        <v>132</v>
      </c>
      <c r="C55" s="1419"/>
      <c r="D55" s="1420"/>
      <c r="E55" s="1420"/>
      <c r="F55" s="1419"/>
      <c r="G55" s="1420"/>
      <c r="H55" s="1420"/>
      <c r="I55" s="1421">
        <f>'[1]пром.пр-во'!H37</f>
        <v>0</v>
      </c>
      <c r="J55" s="1420">
        <f t="shared" si="7"/>
        <v>0</v>
      </c>
      <c r="K55" s="1427">
        <f>'[1]затраты вспом.'!AC36</f>
        <v>0</v>
      </c>
      <c r="L55" s="1427"/>
      <c r="M55" s="1427"/>
      <c r="N55" s="1427">
        <f>'[1]затраты вспом.'!AK36</f>
        <v>0</v>
      </c>
      <c r="O55" s="1427">
        <f>'[1]затраты вспом.'!AM36</f>
        <v>666</v>
      </c>
      <c r="P55" s="1444">
        <f t="shared" si="9"/>
        <v>666</v>
      </c>
      <c r="Q55" s="1455"/>
      <c r="R55" s="1424">
        <f t="shared" si="4"/>
        <v>666</v>
      </c>
    </row>
    <row r="56" spans="1:21" s="1402" customFormat="1" outlineLevel="1">
      <c r="A56" s="1397"/>
      <c r="B56" s="1465" t="s">
        <v>85</v>
      </c>
      <c r="C56" s="1419"/>
      <c r="D56" s="1420"/>
      <c r="E56" s="1420"/>
      <c r="F56" s="1419"/>
      <c r="G56" s="1420"/>
      <c r="H56" s="1420"/>
      <c r="I56" s="1421"/>
      <c r="J56" s="1420">
        <f t="shared" si="7"/>
        <v>0</v>
      </c>
      <c r="K56" s="1427">
        <f>'[1]затраты вспом.'!AC37</f>
        <v>0</v>
      </c>
      <c r="L56" s="1427"/>
      <c r="M56" s="1427"/>
      <c r="N56" s="1427">
        <f>'[1]затраты вспом.'!AK37</f>
        <v>191.7</v>
      </c>
      <c r="O56" s="1427"/>
      <c r="P56" s="1444">
        <f t="shared" si="9"/>
        <v>191.7</v>
      </c>
      <c r="Q56" s="1455"/>
      <c r="R56" s="1424">
        <f t="shared" si="4"/>
        <v>191.7</v>
      </c>
    </row>
    <row r="57" spans="1:21" s="1402" customFormat="1" outlineLevel="1">
      <c r="A57" s="1397"/>
      <c r="B57" s="1465" t="s">
        <v>86</v>
      </c>
      <c r="C57" s="1419"/>
      <c r="D57" s="1467"/>
      <c r="E57" s="1467"/>
      <c r="F57" s="1419"/>
      <c r="G57" s="1467"/>
      <c r="H57" s="1467"/>
      <c r="I57" s="1421"/>
      <c r="J57" s="1420">
        <f t="shared" si="7"/>
        <v>0</v>
      </c>
      <c r="K57" s="1427">
        <f>'[1]затраты вспом.'!AC38</f>
        <v>0</v>
      </c>
      <c r="L57" s="1427"/>
      <c r="M57" s="1427"/>
      <c r="N57" s="1427">
        <f>'[1]затраты вспом.'!AK38</f>
        <v>0</v>
      </c>
      <c r="O57" s="1427">
        <f>'[1]затраты вспом.'!AM38</f>
        <v>2866</v>
      </c>
      <c r="P57" s="1444">
        <f t="shared" si="9"/>
        <v>2866</v>
      </c>
      <c r="Q57" s="1423"/>
      <c r="R57" s="1424">
        <f t="shared" si="4"/>
        <v>2866</v>
      </c>
    </row>
    <row r="58" spans="1:21" s="1402" customFormat="1" outlineLevel="1">
      <c r="A58" s="1397"/>
      <c r="B58" s="1465" t="s">
        <v>87</v>
      </c>
      <c r="C58" s="1419"/>
      <c r="D58" s="1467"/>
      <c r="E58" s="1467"/>
      <c r="F58" s="1419"/>
      <c r="G58" s="1467"/>
      <c r="H58" s="1467"/>
      <c r="I58" s="1421"/>
      <c r="J58" s="1420">
        <f t="shared" si="7"/>
        <v>0</v>
      </c>
      <c r="K58" s="1427">
        <f>'[1]затраты вспом.'!AC39</f>
        <v>0</v>
      </c>
      <c r="L58" s="1427"/>
      <c r="M58" s="1427"/>
      <c r="N58" s="1427">
        <f>'[1]затраты вспом.'!AK39</f>
        <v>0</v>
      </c>
      <c r="O58" s="1427"/>
      <c r="P58" s="1444">
        <f t="shared" si="9"/>
        <v>0</v>
      </c>
      <c r="Q58" s="1455"/>
      <c r="R58" s="1424">
        <f t="shared" si="4"/>
        <v>0</v>
      </c>
    </row>
    <row r="59" spans="1:21" s="1402" customFormat="1" ht="12" outlineLevel="1" thickBot="1">
      <c r="A59" s="1397"/>
      <c r="B59" s="1465" t="s">
        <v>88</v>
      </c>
      <c r="C59" s="1419"/>
      <c r="D59" s="1468"/>
      <c r="E59" s="1468"/>
      <c r="F59" s="1419"/>
      <c r="G59" s="1468"/>
      <c r="H59" s="1468"/>
      <c r="I59" s="1421">
        <f>'[1]пром.пр-во'!H38</f>
        <v>0</v>
      </c>
      <c r="J59" s="1420">
        <f t="shared" si="7"/>
        <v>0</v>
      </c>
      <c r="K59" s="1427">
        <f>'[1]затраты вспом.'!AC40</f>
        <v>75</v>
      </c>
      <c r="L59" s="1427"/>
      <c r="M59" s="1427"/>
      <c r="N59" s="1427">
        <f>'[1]затраты вспом.'!AK40</f>
        <v>0</v>
      </c>
      <c r="O59" s="1427"/>
      <c r="P59" s="1444">
        <f t="shared" si="9"/>
        <v>75</v>
      </c>
      <c r="Q59" s="1469"/>
      <c r="R59" s="1424">
        <f t="shared" si="4"/>
        <v>75</v>
      </c>
    </row>
    <row r="60" spans="1:21" s="1402" customFormat="1" thickBot="1">
      <c r="A60" s="1470"/>
      <c r="B60" s="1470" t="s">
        <v>18</v>
      </c>
      <c r="C60" s="1471">
        <f t="shared" ref="C60:P60" si="10">C49+C45+C44+C43+C42+C7</f>
        <v>121863.12747988047</v>
      </c>
      <c r="D60" s="1471">
        <f t="shared" si="10"/>
        <v>86990.326982751503</v>
      </c>
      <c r="E60" s="1472">
        <f t="shared" si="10"/>
        <v>112333.21227929501</v>
      </c>
      <c r="F60" s="1472">
        <f>F49+F45+F44+F43+F42+F7</f>
        <v>8500.9852924999996</v>
      </c>
      <c r="G60" s="1472">
        <f t="shared" si="10"/>
        <v>12021.634138333331</v>
      </c>
      <c r="H60" s="1472">
        <f t="shared" si="10"/>
        <v>0</v>
      </c>
      <c r="I60" s="1473">
        <f t="shared" si="10"/>
        <v>109197.26603047687</v>
      </c>
      <c r="J60" s="1474">
        <f t="shared" si="10"/>
        <v>450906.5522032372</v>
      </c>
      <c r="K60" s="1473">
        <f t="shared" si="10"/>
        <v>92903.702586266649</v>
      </c>
      <c r="L60" s="1475">
        <f>L49+L45+L44+L43+L42+L7</f>
        <v>28886.338190000002</v>
      </c>
      <c r="M60" s="1473">
        <f t="shared" si="10"/>
        <v>5219.1845599999997</v>
      </c>
      <c r="N60" s="1475">
        <f t="shared" si="10"/>
        <v>27706.088172400003</v>
      </c>
      <c r="O60" s="1476">
        <f t="shared" si="10"/>
        <v>36767.286819999994</v>
      </c>
      <c r="P60" s="1477">
        <f t="shared" si="10"/>
        <v>642389.15253190394</v>
      </c>
      <c r="Q60" s="1478"/>
      <c r="R60" s="1477">
        <f>R49+R45+R44+R43+R42+R7</f>
        <v>642389.15253190394</v>
      </c>
      <c r="U60" s="1387"/>
    </row>
    <row r="61" spans="1:21">
      <c r="A61" s="1479"/>
      <c r="B61" s="1480" t="s">
        <v>102</v>
      </c>
      <c r="C61" s="1481"/>
      <c r="D61" s="1482">
        <f>SUM(D62:D65)</f>
        <v>0</v>
      </c>
      <c r="E61" s="1482">
        <f>SUM(E62:E65)</f>
        <v>0</v>
      </c>
      <c r="F61" s="1481"/>
      <c r="G61" s="1482"/>
      <c r="H61" s="1482"/>
      <c r="I61" s="1483">
        <f>SUM(I62:I65)</f>
        <v>0</v>
      </c>
      <c r="J61" s="1482">
        <f t="shared" ref="J61:J69" si="11">SUM(C61:I61)</f>
        <v>0</v>
      </c>
      <c r="K61" s="1483"/>
      <c r="L61" s="1482"/>
      <c r="M61" s="1483"/>
      <c r="N61" s="1482"/>
      <c r="O61" s="1484"/>
      <c r="P61" s="1485">
        <f>SUM(K61:O61)</f>
        <v>0</v>
      </c>
      <c r="Q61" s="1486"/>
      <c r="R61" s="1487"/>
    </row>
    <row r="62" spans="1:21" s="1402" customFormat="1">
      <c r="A62" s="1488"/>
      <c r="B62" s="1489" t="s">
        <v>636</v>
      </c>
      <c r="C62" s="1423"/>
      <c r="D62" s="1490">
        <f>'[1]затраты св-во шув-2'!K36</f>
        <v>0</v>
      </c>
      <c r="E62" s="1490">
        <f>'[1]затраты св-во шув-2'!L36</f>
        <v>0</v>
      </c>
      <c r="F62" s="1423"/>
      <c r="G62" s="1490"/>
      <c r="H62" s="1490"/>
      <c r="I62" s="1491"/>
      <c r="J62" s="1456">
        <f t="shared" si="11"/>
        <v>0</v>
      </c>
      <c r="K62" s="1492">
        <f>C67</f>
        <v>17562.272918899969</v>
      </c>
      <c r="L62" s="1492">
        <f>'[1]затраты вспом.'!AE54</f>
        <v>17907.527707953912</v>
      </c>
      <c r="M62" s="1493"/>
      <c r="N62" s="1492">
        <f>C70</f>
        <v>6437.5194455880865</v>
      </c>
      <c r="O62" s="1493"/>
      <c r="P62" s="1494">
        <f>C72</f>
        <v>163770.44755232244</v>
      </c>
      <c r="Q62" s="1455"/>
      <c r="R62" s="1456"/>
    </row>
    <row r="63" spans="1:21" s="1402" customFormat="1">
      <c r="A63" s="1488"/>
      <c r="B63" s="1489" t="s">
        <v>461</v>
      </c>
      <c r="C63" s="1423"/>
      <c r="D63" s="1490">
        <f>'[1]затраты св-во шув-2'!K37</f>
        <v>0</v>
      </c>
      <c r="E63" s="1490">
        <f>'[1]затраты св-во шув-2'!L37</f>
        <v>0</v>
      </c>
      <c r="F63" s="1423"/>
      <c r="G63" s="1490"/>
      <c r="H63" s="1490"/>
      <c r="I63" s="1491"/>
      <c r="J63" s="1456"/>
      <c r="K63" s="1492">
        <f>D67</f>
        <v>11108.843406414908</v>
      </c>
      <c r="L63" s="1492">
        <f>'[1]затраты вспом.'!AF54</f>
        <v>11943.594318315838</v>
      </c>
      <c r="M63" s="1493"/>
      <c r="N63" s="1492">
        <f>D70</f>
        <v>6930.9379595425253</v>
      </c>
      <c r="O63" s="1493"/>
      <c r="P63" s="1494">
        <f>D74</f>
        <v>116973.70266702477</v>
      </c>
      <c r="Q63" s="1455"/>
      <c r="R63" s="1456"/>
    </row>
    <row r="64" spans="1:21" s="1402" customFormat="1">
      <c r="A64" s="1488"/>
      <c r="B64" s="1489" t="s">
        <v>462</v>
      </c>
      <c r="C64" s="1423"/>
      <c r="D64" s="1490">
        <f>'[1]затраты св-во шув-2'!K38</f>
        <v>0</v>
      </c>
      <c r="E64" s="1490">
        <f>'[1]затраты св-во шув-2'!L38</f>
        <v>0</v>
      </c>
      <c r="F64" s="1423"/>
      <c r="G64" s="1490"/>
      <c r="H64" s="1490"/>
      <c r="I64" s="1491"/>
      <c r="J64" s="1456"/>
      <c r="K64" s="1492">
        <f>E67</f>
        <v>13043.204339960086</v>
      </c>
      <c r="L64" s="1492"/>
      <c r="M64" s="1493"/>
      <c r="N64" s="1492">
        <f>E70</f>
        <v>7694.5983544290757</v>
      </c>
      <c r="O64" s="1493"/>
      <c r="P64" s="1494">
        <f>E72</f>
        <v>133071.01497368416</v>
      </c>
      <c r="Q64" s="1455"/>
      <c r="R64" s="1456"/>
    </row>
    <row r="65" spans="1:18">
      <c r="A65" s="1495"/>
      <c r="B65" s="1496" t="s">
        <v>134</v>
      </c>
      <c r="C65" s="1423"/>
      <c r="D65" s="1490">
        <f>'[1]затраты св-во шув-2'!K41</f>
        <v>0</v>
      </c>
      <c r="E65" s="1490">
        <f>'[1]затраты св-во шув-2'!L41</f>
        <v>0</v>
      </c>
      <c r="F65" s="1423"/>
      <c r="G65" s="1490"/>
      <c r="H65" s="1490"/>
      <c r="I65" s="1497"/>
      <c r="J65" s="1424">
        <f t="shared" si="11"/>
        <v>0</v>
      </c>
      <c r="K65" s="1498">
        <f>I67</f>
        <v>24786.424262796882</v>
      </c>
      <c r="L65" s="1499"/>
      <c r="M65" s="1500"/>
      <c r="N65" s="1501">
        <f>I70</f>
        <v>13740.986345831447</v>
      </c>
      <c r="O65" s="1502">
        <f>O72</f>
        <v>40502.106030068964</v>
      </c>
      <c r="P65" s="1494">
        <f>I72</f>
        <v>147724.67663910519</v>
      </c>
      <c r="Q65" s="1423"/>
      <c r="R65" s="1424"/>
    </row>
    <row r="66" spans="1:18">
      <c r="A66" s="1495"/>
      <c r="B66" s="1489" t="s">
        <v>637</v>
      </c>
      <c r="C66" s="1423"/>
      <c r="D66" s="1490"/>
      <c r="E66" s="1490"/>
      <c r="F66" s="1423"/>
      <c r="G66" s="1490"/>
      <c r="H66" s="1490"/>
      <c r="I66" s="1497"/>
      <c r="J66" s="1424"/>
      <c r="K66" s="1502"/>
      <c r="L66" s="1499">
        <f>'[1]затраты вспом.'!AD54</f>
        <v>7005.6847906643097</v>
      </c>
      <c r="M66" s="1500"/>
      <c r="N66" s="1501">
        <f>F70+G70</f>
        <v>1488.9458622688735</v>
      </c>
      <c r="O66" s="1502"/>
      <c r="P66" s="1494">
        <f>F72+G72</f>
        <v>30667.634521343953</v>
      </c>
      <c r="Q66" s="1423"/>
      <c r="R66" s="1424"/>
    </row>
    <row r="67" spans="1:18" s="1402" customFormat="1">
      <c r="A67" s="1503"/>
      <c r="B67" s="1454" t="s">
        <v>89</v>
      </c>
      <c r="C67" s="1455">
        <f>'св-во ш-1 план'!L39</f>
        <v>17562.272918899969</v>
      </c>
      <c r="D67" s="1490">
        <f>'[1]затраты св-во шув-2'!K42</f>
        <v>11108.843406414908</v>
      </c>
      <c r="E67" s="1490">
        <f>'[1]затраты св-во шув-2'!M42</f>
        <v>13043.204339960086</v>
      </c>
      <c r="F67" s="1455">
        <f>'[1]затраты КРС'!J40</f>
        <v>382.95196321117106</v>
      </c>
      <c r="G67" s="1490">
        <f>'[1]затраты КРС'!H40</f>
        <v>1267.4324743662698</v>
      </c>
      <c r="H67" s="1490">
        <f>'[1]затраты вспом.'!AC81</f>
        <v>2471.2964688907441</v>
      </c>
      <c r="I67" s="1504">
        <f>'[1]пром.пр-во'!H49</f>
        <v>24786.424262796882</v>
      </c>
      <c r="J67" s="1456">
        <f>SUM(C67:I67)</f>
        <v>70622.42583454003</v>
      </c>
      <c r="K67" s="1501">
        <f>'[1]затраты вспом.'!AC90</f>
        <v>8217.0523065483776</v>
      </c>
      <c r="L67" s="1424">
        <f>'[1]затраты вспом.'!AC109</f>
        <v>7954.7337469340582</v>
      </c>
      <c r="M67" s="1505">
        <f>'[1]затраты вспом.'!AC114</f>
        <v>563.03671571422774</v>
      </c>
      <c r="N67" s="1424">
        <f>'[1]затраты вспом.'!AC113</f>
        <v>6871.7181064934921</v>
      </c>
      <c r="O67" s="1506">
        <f>'[1]затраты вспом.'!AC115</f>
        <v>3734.8192100689694</v>
      </c>
      <c r="P67" s="1494">
        <f>K72</f>
        <v>101120.75489281502</v>
      </c>
      <c r="Q67" s="1455"/>
      <c r="R67" s="1456"/>
    </row>
    <row r="68" spans="1:18" ht="12" thickBot="1">
      <c r="A68" s="1507"/>
      <c r="B68" s="1465" t="s">
        <v>107</v>
      </c>
      <c r="C68" s="1455">
        <f>'[1]затраты св-во Шув-1'!L40</f>
        <v>17907.527707953912</v>
      </c>
      <c r="D68" s="1508">
        <f>'[1]затраты св-во шув-2'!K43</f>
        <v>11943.594318315838</v>
      </c>
      <c r="E68" s="1490">
        <f>'[1]затраты св-во шув-2'!M43</f>
        <v>0</v>
      </c>
      <c r="F68" s="1455">
        <f>'[1]затраты КРС'!J41</f>
        <v>2952.3430222598317</v>
      </c>
      <c r="G68" s="1508">
        <f>'[1]затраты КРС'!H41</f>
        <v>4053.341768404478</v>
      </c>
      <c r="H68" s="1490"/>
      <c r="I68" s="1509">
        <f>L65</f>
        <v>0</v>
      </c>
      <c r="J68" s="1510">
        <f t="shared" si="11"/>
        <v>36856.806816934055</v>
      </c>
      <c r="K68" s="1501">
        <f>L67</f>
        <v>7954.7337469340582</v>
      </c>
      <c r="L68" s="1511"/>
      <c r="M68" s="1512"/>
      <c r="N68" s="1511"/>
      <c r="O68" s="1513"/>
      <c r="P68" s="1494">
        <f>L72</f>
        <v>36841.071936934059</v>
      </c>
      <c r="Q68" s="1514"/>
      <c r="R68" s="1511"/>
    </row>
    <row r="69" spans="1:18" s="1402" customFormat="1" thickBot="1">
      <c r="A69" s="1515"/>
      <c r="B69" s="1516" t="s">
        <v>108</v>
      </c>
      <c r="C69" s="1478">
        <f t="shared" ref="C69:I69" si="12">C60+C61+C67+C68</f>
        <v>157332.92810673435</v>
      </c>
      <c r="D69" s="1517">
        <f t="shared" si="12"/>
        <v>110042.76470748225</v>
      </c>
      <c r="E69" s="1517">
        <f t="shared" si="12"/>
        <v>125376.41661925509</v>
      </c>
      <c r="F69" s="1517">
        <f t="shared" si="12"/>
        <v>11836.280277971004</v>
      </c>
      <c r="G69" s="1517">
        <f t="shared" si="12"/>
        <v>17342.408381104076</v>
      </c>
      <c r="H69" s="1517">
        <f t="shared" si="12"/>
        <v>2471.2964688907441</v>
      </c>
      <c r="I69" s="1518">
        <f t="shared" si="12"/>
        <v>133983.69029327374</v>
      </c>
      <c r="J69" s="1517">
        <f t="shared" si="11"/>
        <v>558385.78485471127</v>
      </c>
      <c r="K69" s="1519">
        <f>K60+K67</f>
        <v>101120.75489281502</v>
      </c>
      <c r="L69" s="1517">
        <f>L60+L67+L68</f>
        <v>36841.071936934059</v>
      </c>
      <c r="M69" s="1519">
        <f>M60+M67+M68</f>
        <v>5782.2212757142279</v>
      </c>
      <c r="N69" s="1517">
        <f>N60+N67</f>
        <v>34577.806278893491</v>
      </c>
      <c r="O69" s="1518">
        <f>O60+O67+O68</f>
        <v>40502.106030068964</v>
      </c>
      <c r="P69" s="1520"/>
      <c r="Q69" s="1478"/>
      <c r="R69" s="1517"/>
    </row>
    <row r="70" spans="1:18" ht="22.5">
      <c r="A70" s="1495"/>
      <c r="B70" s="1521" t="s">
        <v>110</v>
      </c>
      <c r="C70" s="1522">
        <f>N72/J83*C83</f>
        <v>6437.5194455880865</v>
      </c>
      <c r="D70" s="1490">
        <f>$N$72/$J$83*D83</f>
        <v>6930.9379595425253</v>
      </c>
      <c r="E70" s="1490">
        <f>$N$72/$J$83*E83</f>
        <v>7694.5983544290757</v>
      </c>
      <c r="F70" s="1490">
        <f>$N$72/$J$83*F83</f>
        <v>634.46602559701557</v>
      </c>
      <c r="G70" s="1490">
        <f>$N$72/$J$83*G83</f>
        <v>854.47983667185792</v>
      </c>
      <c r="H70" s="1490">
        <f>$N$72/$J$83*H83</f>
        <v>459.41831123348578</v>
      </c>
      <c r="I70" s="1491">
        <f>N72/J83*I83</f>
        <v>13740.986345831447</v>
      </c>
      <c r="J70" s="1490">
        <f>SUM(C70:I70)</f>
        <v>36752.406278893497</v>
      </c>
      <c r="K70" s="1523">
        <f>N67</f>
        <v>6871.7181064934921</v>
      </c>
      <c r="L70" s="1487"/>
      <c r="M70" s="1523">
        <f>'[1]затраты вспом.'!AK53</f>
        <v>2174.6</v>
      </c>
      <c r="N70" s="1487"/>
      <c r="O70" s="1524"/>
      <c r="P70" s="1525">
        <f>N72</f>
        <v>36752.40627889349</v>
      </c>
      <c r="Q70" s="1486"/>
      <c r="R70" s="1487"/>
    </row>
    <row r="71" spans="1:18" ht="23.25" thickBot="1">
      <c r="A71" s="1526"/>
      <c r="B71" s="1462" t="s">
        <v>111</v>
      </c>
      <c r="C71" s="1469"/>
      <c r="D71" s="1510"/>
      <c r="E71" s="1510"/>
      <c r="F71" s="1469"/>
      <c r="G71" s="1510"/>
      <c r="H71" s="1510"/>
      <c r="I71" s="1505"/>
      <c r="J71" s="1527"/>
      <c r="K71" s="1501">
        <f>M67</f>
        <v>563.03671571422774</v>
      </c>
      <c r="L71" s="1424"/>
      <c r="M71" s="1505"/>
      <c r="N71" s="1456">
        <f>M70</f>
        <v>2174.6</v>
      </c>
      <c r="O71" s="1506"/>
      <c r="P71" s="1494">
        <f>M72</f>
        <v>5782.2212757142279</v>
      </c>
      <c r="Q71" s="1514"/>
      <c r="R71" s="1511"/>
    </row>
    <row r="72" spans="1:18" s="1402" customFormat="1" ht="21.75" thickBot="1">
      <c r="A72" s="1528"/>
      <c r="B72" s="1529" t="s">
        <v>112</v>
      </c>
      <c r="C72" s="1530">
        <f>C69+C70+C71</f>
        <v>163770.44755232244</v>
      </c>
      <c r="D72" s="1530">
        <f>D69+D70+D71</f>
        <v>116973.70266702477</v>
      </c>
      <c r="E72" s="1531">
        <f>E69+E70+E71</f>
        <v>133071.01497368416</v>
      </c>
      <c r="F72" s="1531">
        <f t="shared" ref="F72:H72" si="13">F69+F70+F71</f>
        <v>12470.746303568019</v>
      </c>
      <c r="G72" s="1531">
        <f t="shared" si="13"/>
        <v>18196.888217775933</v>
      </c>
      <c r="H72" s="1531">
        <f t="shared" si="13"/>
        <v>2930.7147801242299</v>
      </c>
      <c r="I72" s="1532">
        <f>I69+I70+I71</f>
        <v>147724.67663910519</v>
      </c>
      <c r="J72" s="1533">
        <f>SUM(C72:I72)</f>
        <v>595138.19113360473</v>
      </c>
      <c r="K72" s="1530">
        <f>K69</f>
        <v>101120.75489281502</v>
      </c>
      <c r="L72" s="1534">
        <f>L69</f>
        <v>36841.071936934059</v>
      </c>
      <c r="M72" s="1535">
        <f>M69</f>
        <v>5782.2212757142279</v>
      </c>
      <c r="N72" s="1534">
        <f>N69+N70+N71</f>
        <v>36752.40627889349</v>
      </c>
      <c r="O72" s="1532">
        <f>O69+O70+O71</f>
        <v>40502.106030068964</v>
      </c>
      <c r="P72" s="1536"/>
      <c r="Q72" s="1478"/>
      <c r="R72" s="1517"/>
    </row>
    <row r="73" spans="1:18" s="1402" customFormat="1" ht="21.75" thickBot="1">
      <c r="A73" s="1528"/>
      <c r="B73" s="1537" t="s">
        <v>638</v>
      </c>
      <c r="C73" s="1538">
        <f>'[1]затраты св-во Шув-1'!L44</f>
        <v>0</v>
      </c>
      <c r="D73" s="1539">
        <f>'[1]затраты св-во шув-2'!K47</f>
        <v>0</v>
      </c>
      <c r="E73" s="1539">
        <f>'[1]затраты св-во шув-2'!L47</f>
        <v>0</v>
      </c>
      <c r="F73" s="1538">
        <f>'[1]затраты КРС'!J45</f>
        <v>150</v>
      </c>
      <c r="G73" s="1539">
        <f>'[1]затраты КРС'!H45</f>
        <v>1672.6638444978687</v>
      </c>
      <c r="H73" s="1539"/>
      <c r="I73" s="1540"/>
      <c r="J73" s="1517"/>
      <c r="K73" s="1540"/>
      <c r="L73" s="1539"/>
      <c r="M73" s="1540"/>
      <c r="N73" s="1539"/>
      <c r="O73" s="1540"/>
      <c r="P73" s="1541"/>
      <c r="Q73" s="1542"/>
      <c r="R73" s="1543"/>
    </row>
    <row r="74" spans="1:18" s="1402" customFormat="1" ht="21.75" thickBot="1">
      <c r="A74" s="1528"/>
      <c r="B74" s="1529" t="s">
        <v>330</v>
      </c>
      <c r="C74" s="1535">
        <f>C72-C73</f>
        <v>163770.44755232244</v>
      </c>
      <c r="D74" s="1534">
        <f>D72-D73</f>
        <v>116973.70266702477</v>
      </c>
      <c r="E74" s="1534">
        <f>E72-E73</f>
        <v>133071.01497368416</v>
      </c>
      <c r="F74" s="1531">
        <f>F71+F72-F73</f>
        <v>12320.746303568019</v>
      </c>
      <c r="G74" s="1531">
        <f>G71+G72-G73</f>
        <v>16524.224373278066</v>
      </c>
      <c r="H74" s="1534"/>
      <c r="I74" s="1535"/>
      <c r="J74" s="1533"/>
      <c r="K74" s="1535"/>
      <c r="L74" s="1534"/>
      <c r="M74" s="1535"/>
      <c r="N74" s="1534"/>
      <c r="O74" s="1535"/>
      <c r="P74" s="1536"/>
      <c r="Q74" s="1538"/>
      <c r="R74" s="1539"/>
    </row>
    <row r="75" spans="1:18" s="1402" customFormat="1" ht="21.75" thickBot="1">
      <c r="A75" s="1515"/>
      <c r="B75" s="1516" t="s">
        <v>109</v>
      </c>
      <c r="C75" s="1478">
        <f>C74/C3</f>
        <v>115.75091855161726</v>
      </c>
      <c r="D75" s="1517">
        <f>D74/D3</f>
        <v>125.91615769510258</v>
      </c>
      <c r="E75" s="1517">
        <f>E74/E3</f>
        <v>110.74455129743794</v>
      </c>
      <c r="F75" s="1517">
        <f>F74/F3</f>
        <v>346.55077149477586</v>
      </c>
      <c r="G75" s="1544">
        <f>G74/G3</f>
        <v>27.392681746380873</v>
      </c>
      <c r="H75" s="1517"/>
      <c r="I75" s="1519"/>
      <c r="J75" s="1517"/>
      <c r="K75" s="1519"/>
      <c r="L75" s="1517"/>
      <c r="M75" s="1519"/>
      <c r="N75" s="1517"/>
      <c r="O75" s="1545"/>
      <c r="P75" s="1520"/>
      <c r="Q75" s="1538"/>
      <c r="R75" s="1539"/>
    </row>
    <row r="76" spans="1:18" ht="12" thickBot="1">
      <c r="A76" s="1495"/>
      <c r="B76" s="1521" t="s">
        <v>135</v>
      </c>
      <c r="C76" s="1486"/>
      <c r="D76" s="1497"/>
      <c r="E76" s="1497"/>
      <c r="F76" s="1486"/>
      <c r="G76" s="1497"/>
      <c r="H76" s="1497"/>
      <c r="I76" s="1497">
        <f>O65</f>
        <v>40502.106030068964</v>
      </c>
      <c r="J76" s="1424">
        <f>SUM(C76:I76)</f>
        <v>40502.106030068964</v>
      </c>
      <c r="K76" s="1546">
        <f>O67</f>
        <v>3734.8192100689694</v>
      </c>
      <c r="L76" s="1487"/>
      <c r="M76" s="1547"/>
      <c r="N76" s="1487"/>
      <c r="O76" s="1524"/>
      <c r="P76" s="1525">
        <f>O72</f>
        <v>40502.106030068964</v>
      </c>
      <c r="Q76" s="1548"/>
      <c r="R76" s="1547"/>
    </row>
    <row r="77" spans="1:18" ht="12" thickBot="1">
      <c r="A77" s="1549"/>
      <c r="B77" s="1550" t="s">
        <v>331</v>
      </c>
      <c r="C77" s="1551"/>
      <c r="D77" s="1552"/>
      <c r="E77" s="1552"/>
      <c r="F77" s="1551"/>
      <c r="G77" s="1552"/>
      <c r="H77" s="1552"/>
      <c r="I77" s="1552"/>
      <c r="J77" s="1553"/>
      <c r="K77" s="1523">
        <f>'[1]затраты вспом.'!AC116</f>
        <v>3042.752863055086</v>
      </c>
      <c r="L77" s="1554"/>
      <c r="M77" s="1523">
        <f>'[1]затраты вспом.'!AL116</f>
        <v>3608.8884757142282</v>
      </c>
      <c r="N77" s="1554"/>
      <c r="O77" s="1555"/>
      <c r="P77" s="1536"/>
      <c r="Q77" s="1556"/>
      <c r="R77" s="1557"/>
    </row>
    <row r="78" spans="1:18" s="1402" customFormat="1" ht="12" thickBot="1">
      <c r="A78" s="1558"/>
      <c r="B78" s="1559" t="s">
        <v>136</v>
      </c>
      <c r="C78" s="1560"/>
      <c r="D78" s="1561"/>
      <c r="E78" s="1561"/>
      <c r="F78" s="1560"/>
      <c r="G78" s="1561"/>
      <c r="H78" s="1561"/>
      <c r="I78" s="1561"/>
      <c r="J78" s="1562"/>
      <c r="K78" s="1563">
        <f>K62+K63+K64+K65+K67+K68+K70+K71+K76+K77</f>
        <v>96884.857876886046</v>
      </c>
      <c r="L78" s="1564">
        <f>L62+L63+L64+L65</f>
        <v>29851.12202626975</v>
      </c>
      <c r="M78" s="1563">
        <f>M62+M65+M70+M77</f>
        <v>5783.4884757142281</v>
      </c>
      <c r="N78" s="1563">
        <f>N62+N63+N64+N65+N70+N77</f>
        <v>34804.042105391134</v>
      </c>
      <c r="O78" s="1563">
        <f>O62+O63+O65+O70+O77</f>
        <v>40502.106030068964</v>
      </c>
      <c r="P78" s="1520"/>
      <c r="Q78" s="1565"/>
      <c r="R78" s="1508"/>
    </row>
    <row r="79" spans="1:18">
      <c r="P79" s="1566"/>
    </row>
    <row r="80" spans="1:18">
      <c r="C80" s="1396" t="s">
        <v>137</v>
      </c>
      <c r="K80" s="1396">
        <f>K72-K78</f>
        <v>4235.8970159289747</v>
      </c>
      <c r="L80" s="1396">
        <f>L72-L78</f>
        <v>6989.9499106643088</v>
      </c>
      <c r="M80" s="1396">
        <f>M72-M78</f>
        <v>-1.2672000000002299</v>
      </c>
      <c r="N80" s="1396">
        <f>N72-N78</f>
        <v>1948.3641735023557</v>
      </c>
      <c r="O80" s="1396">
        <f>O72-O78</f>
        <v>0</v>
      </c>
    </row>
    <row r="81" spans="2:12">
      <c r="C81" s="1396" t="s">
        <v>138</v>
      </c>
      <c r="J81" s="1396">
        <f>J72-J42</f>
        <v>561627.70280360477</v>
      </c>
    </row>
    <row r="82" spans="2:12">
      <c r="L82" s="1396" t="s">
        <v>346</v>
      </c>
    </row>
    <row r="83" spans="2:12">
      <c r="B83" s="1396" t="s">
        <v>347</v>
      </c>
      <c r="C83" s="1396">
        <f>C67+C60-C14-C15-C8-C11</f>
        <v>34628.613368899983</v>
      </c>
      <c r="D83" s="1396">
        <f t="shared" ref="D83:H83" si="14">D67+D60-D14-D15-D8-D11</f>
        <v>37282.803246414915</v>
      </c>
      <c r="E83" s="1396">
        <f t="shared" si="14"/>
        <v>41390.674419960094</v>
      </c>
      <c r="F83" s="1396">
        <f t="shared" si="14"/>
        <v>3412.9106532111709</v>
      </c>
      <c r="G83" s="1396">
        <f t="shared" si="14"/>
        <v>4596.4058276995993</v>
      </c>
      <c r="H83" s="1396">
        <f t="shared" si="14"/>
        <v>2471.2964688907441</v>
      </c>
      <c r="I83" s="1396">
        <f>'[1]пром.пр-во'!H64</f>
        <v>73915.31901363637</v>
      </c>
      <c r="J83" s="1396">
        <f>SUM(C83:I83)</f>
        <v>197698.02299871287</v>
      </c>
      <c r="L83" s="1396">
        <f>L72</f>
        <v>36841.071936934059</v>
      </c>
    </row>
    <row r="89" spans="2:12" ht="9" customHeight="1"/>
    <row r="90" spans="2:12" ht="9" customHeight="1"/>
    <row r="91" spans="2:12" ht="9" customHeight="1"/>
    <row r="92" spans="2:12" ht="9" customHeight="1"/>
    <row r="93" spans="2:12" ht="9" customHeight="1"/>
    <row r="94" spans="2:12" ht="9" customHeight="1"/>
    <row r="95" spans="2:12" ht="9" customHeight="1"/>
    <row r="96" spans="2:12" ht="9" customHeight="1"/>
    <row r="97" ht="9" customHeight="1"/>
    <row r="98" ht="9" customHeight="1"/>
    <row r="99" ht="9" customHeight="1"/>
    <row r="100" ht="9" customHeight="1"/>
    <row r="101" ht="9" customHeight="1"/>
    <row r="102" ht="9" customHeight="1"/>
    <row r="103" ht="9" customHeight="1"/>
    <row r="104" ht="9" customHeight="1"/>
    <row r="105" ht="9" customHeight="1"/>
    <row r="106" ht="9" customHeight="1"/>
    <row r="107" ht="9" customHeight="1"/>
    <row r="108" ht="9" customHeight="1"/>
    <row r="109" ht="9" customHeight="1"/>
    <row r="110" ht="9" customHeight="1"/>
    <row r="111" ht="9" customHeight="1"/>
    <row r="112" ht="9" customHeight="1"/>
    <row r="113" ht="9" customHeight="1"/>
    <row r="114" ht="9" customHeight="1"/>
    <row r="115" ht="9" customHeight="1"/>
    <row r="116" ht="9" customHeight="1"/>
    <row r="117" ht="9" customHeight="1"/>
    <row r="118" ht="9" customHeight="1"/>
    <row r="119" ht="9" customHeight="1"/>
    <row r="120" ht="9" customHeight="1"/>
    <row r="121" ht="9" customHeight="1"/>
    <row r="122" ht="9" customHeight="1"/>
    <row r="123" ht="9" customHeight="1"/>
    <row r="124" ht="9" customHeight="1"/>
    <row r="125" ht="9" customHeight="1"/>
    <row r="126" ht="9" customHeight="1"/>
    <row r="127" ht="9" customHeight="1"/>
    <row r="128" ht="9" customHeight="1"/>
    <row r="129" ht="9" customHeight="1"/>
    <row r="130" ht="9" customHeight="1"/>
    <row r="131" ht="9" customHeight="1"/>
    <row r="132" ht="9" customHeight="1"/>
    <row r="133" ht="9" customHeight="1"/>
    <row r="134" ht="9" customHeight="1"/>
    <row r="135" ht="9" customHeight="1"/>
    <row r="136" ht="9" customHeight="1"/>
    <row r="137" ht="9" customHeight="1"/>
    <row r="138" ht="9" customHeight="1"/>
    <row r="139" ht="9" customHeight="1"/>
    <row r="140" ht="9" customHeight="1"/>
    <row r="141" ht="9" customHeight="1"/>
    <row r="142" ht="9" customHeight="1"/>
    <row r="143" ht="9" customHeight="1"/>
    <row r="144" ht="9" customHeight="1"/>
    <row r="145" ht="9" customHeight="1"/>
    <row r="146" ht="9" customHeight="1"/>
    <row r="147" ht="9" customHeight="1"/>
    <row r="148" ht="9" customHeight="1"/>
    <row r="149" ht="9" customHeight="1"/>
    <row r="150" ht="9" customHeight="1"/>
    <row r="151" ht="9" customHeight="1"/>
    <row r="152" ht="9" customHeight="1"/>
    <row r="153" ht="9" customHeight="1"/>
    <row r="154" ht="9" customHeight="1"/>
    <row r="155" ht="9" customHeight="1"/>
    <row r="156" ht="9" customHeight="1"/>
    <row r="157" ht="9" customHeight="1"/>
    <row r="158" ht="9" customHeight="1"/>
    <row r="159" ht="9" customHeight="1"/>
    <row r="160" ht="9" customHeight="1"/>
    <row r="161" ht="9" customHeight="1"/>
    <row r="162" ht="9" customHeight="1"/>
    <row r="163" ht="9" customHeight="1"/>
    <row r="164" ht="9" customHeight="1"/>
    <row r="165" ht="9" customHeight="1"/>
    <row r="166" ht="9" customHeight="1"/>
    <row r="167" ht="9" customHeight="1"/>
    <row r="168" ht="9" customHeight="1"/>
    <row r="169" ht="9" customHeight="1"/>
    <row r="170" ht="9" customHeight="1"/>
    <row r="171" ht="9" customHeight="1"/>
    <row r="172" ht="9" customHeight="1"/>
    <row r="173" ht="9" customHeight="1"/>
    <row r="174" ht="9" customHeight="1"/>
    <row r="175" ht="9" customHeight="1"/>
    <row r="176" ht="9" customHeight="1"/>
    <row r="177" ht="9" customHeight="1"/>
    <row r="178" ht="9" customHeight="1"/>
    <row r="179" ht="9" customHeight="1"/>
    <row r="180" ht="9" customHeight="1"/>
    <row r="181" ht="9" customHeight="1"/>
    <row r="182" ht="9" customHeight="1"/>
    <row r="183" ht="9" customHeight="1"/>
    <row r="184" ht="9" customHeight="1"/>
    <row r="185" ht="9" customHeight="1"/>
    <row r="186" ht="9" customHeight="1"/>
    <row r="187" ht="9" customHeight="1"/>
    <row r="188" ht="9" customHeight="1"/>
    <row r="189" ht="9" customHeight="1"/>
    <row r="190" ht="9" customHeight="1"/>
    <row r="191" ht="9" customHeight="1"/>
    <row r="192" ht="9" customHeight="1"/>
    <row r="193" ht="9" customHeight="1"/>
    <row r="194" ht="9" customHeight="1"/>
    <row r="195" ht="9" customHeight="1"/>
    <row r="196" ht="9" customHeight="1"/>
    <row r="197" ht="9" customHeight="1"/>
  </sheetData>
  <mergeCells count="10">
    <mergeCell ref="P2:P6"/>
    <mergeCell ref="Q2:Q6"/>
    <mergeCell ref="R2:R6"/>
    <mergeCell ref="C6:I6"/>
    <mergeCell ref="N2:N6"/>
    <mergeCell ref="O2:O6"/>
    <mergeCell ref="K2:K6"/>
    <mergeCell ref="L2:L6"/>
    <mergeCell ref="M2:M6"/>
    <mergeCell ref="J2:J6"/>
  </mergeCells>
  <phoneticPr fontId="18" type="noConversion"/>
  <pageMargins left="0.23622047244094491" right="0.19685039370078741" top="0.47244094488188981" bottom="0.59055118110236227" header="0.23622047244094491" footer="0.19685039370078741"/>
  <pageSetup paperSize="9" scale="90" orientation="landscape" r:id="rId1"/>
  <headerFooter alignWithMargins="0">
    <oddHeader>&amp;C&amp;F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8">
    <tabColor rgb="FFC00000"/>
  </sheetPr>
  <dimension ref="A1:M96"/>
  <sheetViews>
    <sheetView workbookViewId="0">
      <pane xSplit="2" ySplit="4" topLeftCell="E78" activePane="bottomRight" state="frozen"/>
      <selection pane="topRight" activeCell="C1" sqref="C1"/>
      <selection pane="bottomLeft" activeCell="A5" sqref="A5"/>
      <selection pane="bottomRight" activeCell="G97" sqref="G97"/>
    </sheetView>
  </sheetViews>
  <sheetFormatPr defaultRowHeight="12" customHeight="1" outlineLevelCol="1"/>
  <cols>
    <col min="1" max="1" width="1.42578125" style="293" customWidth="1"/>
    <col min="2" max="2" width="43.28515625" style="291" customWidth="1"/>
    <col min="3" max="3" width="10.7109375" style="292" customWidth="1"/>
    <col min="4" max="4" width="10.7109375" style="1100" customWidth="1"/>
    <col min="5" max="6" width="10.7109375" style="1101" customWidth="1"/>
    <col min="7" max="7" width="11.28515625" style="1101" customWidth="1"/>
    <col min="8" max="8" width="0.85546875" style="1102" customWidth="1" outlineLevel="1"/>
    <col min="9" max="11" width="13.140625" style="1102" customWidth="1" outlineLevel="1"/>
    <col min="12" max="12" width="1.28515625" style="1102" customWidth="1" outlineLevel="1"/>
    <col min="13" max="13" width="12.140625" style="1102" customWidth="1" outlineLevel="1"/>
    <col min="14" max="16384" width="9.140625" style="293"/>
  </cols>
  <sheetData>
    <row r="1" spans="1:13" ht="12" customHeight="1" thickBot="1">
      <c r="A1" s="290" t="s">
        <v>669</v>
      </c>
    </row>
    <row r="2" spans="1:13" ht="12" customHeight="1" thickBot="1">
      <c r="A2" s="294"/>
      <c r="B2" s="295"/>
      <c r="C2" s="296"/>
      <c r="D2" s="2670" t="s">
        <v>42</v>
      </c>
      <c r="E2" s="2671"/>
      <c r="F2" s="2671"/>
      <c r="G2" s="1103"/>
      <c r="H2" s="1104"/>
      <c r="I2" s="1105" t="s">
        <v>43</v>
      </c>
      <c r="J2" s="2141"/>
      <c r="K2" s="1106"/>
      <c r="L2" s="1104"/>
      <c r="M2" s="1103" t="s">
        <v>197</v>
      </c>
    </row>
    <row r="3" spans="1:13" s="300" customFormat="1" ht="12" customHeight="1" thickBot="1">
      <c r="A3" s="297"/>
      <c r="B3" s="298" t="s">
        <v>231</v>
      </c>
      <c r="C3" s="299"/>
      <c r="D3" s="1107"/>
      <c r="E3" s="1178">
        <v>3384</v>
      </c>
      <c r="F3" s="1178">
        <f>E3</f>
        <v>3384</v>
      </c>
      <c r="G3" s="1179"/>
      <c r="H3" s="1180"/>
      <c r="I3" s="1181">
        <f>J3+K3</f>
        <v>3384.3014800000001</v>
      </c>
      <c r="J3" s="1181">
        <v>2288.7892499999998</v>
      </c>
      <c r="K3" s="1181">
        <v>1095.51223</v>
      </c>
      <c r="L3" s="1109"/>
      <c r="M3" s="1108">
        <f>I3-F3</f>
        <v>0.30148000000008324</v>
      </c>
    </row>
    <row r="4" spans="1:13" s="289" customFormat="1" ht="33.75" customHeight="1" thickBot="1">
      <c r="A4" s="286"/>
      <c r="B4" s="287"/>
      <c r="C4" s="288" t="s">
        <v>232</v>
      </c>
      <c r="D4" s="1110" t="s">
        <v>233</v>
      </c>
      <c r="E4" s="1110" t="s">
        <v>420</v>
      </c>
      <c r="F4" s="1110" t="s">
        <v>234</v>
      </c>
      <c r="G4" s="1110" t="s">
        <v>327</v>
      </c>
      <c r="H4" s="1111"/>
      <c r="I4" s="1110" t="s">
        <v>315</v>
      </c>
      <c r="J4" s="1110" t="s">
        <v>468</v>
      </c>
      <c r="K4" s="1110" t="s">
        <v>469</v>
      </c>
      <c r="L4" s="1112"/>
      <c r="M4" s="1110" t="s">
        <v>470</v>
      </c>
    </row>
    <row r="5" spans="1:13" s="290" customFormat="1" ht="30" customHeight="1">
      <c r="A5" s="301"/>
      <c r="B5" s="302" t="s">
        <v>338</v>
      </c>
      <c r="C5" s="154">
        <v>1000</v>
      </c>
      <c r="D5" s="1113"/>
      <c r="E5" s="1114">
        <f>БДДС!E12-БДДС!E11-БДДС!E10-БДДС!E8-БДДС!E7-БДДС!E6</f>
        <v>660833.10280571622</v>
      </c>
      <c r="F5" s="1115">
        <f>E5</f>
        <v>660833.10280571622</v>
      </c>
      <c r="G5" s="1116"/>
      <c r="H5" s="1117"/>
      <c r="I5" s="1115">
        <f>J5+K5</f>
        <v>467108.32546999998</v>
      </c>
      <c r="J5" s="1115">
        <v>289012.94689999998</v>
      </c>
      <c r="K5" s="1115">
        <v>178095.37857</v>
      </c>
      <c r="L5" s="1118"/>
      <c r="M5" s="1115">
        <f>I5-F5</f>
        <v>-193724.77733571624</v>
      </c>
    </row>
    <row r="6" spans="1:13" s="290" customFormat="1" ht="12" customHeight="1">
      <c r="A6" s="301"/>
      <c r="B6" s="304" t="s">
        <v>339</v>
      </c>
      <c r="C6" s="155">
        <v>1020</v>
      </c>
      <c r="D6" s="1119"/>
      <c r="E6" s="1115">
        <f>реал!E112</f>
        <v>38.31</v>
      </c>
      <c r="F6" s="1115">
        <f>E6</f>
        <v>38.31</v>
      </c>
      <c r="G6" s="1114"/>
      <c r="H6" s="1117"/>
      <c r="I6" s="1115">
        <f t="shared" ref="I6:I11" si="0">J6+K6</f>
        <v>174.035</v>
      </c>
      <c r="J6" s="1115">
        <v>174.035</v>
      </c>
      <c r="K6" s="1115"/>
      <c r="L6" s="1118"/>
      <c r="M6" s="1115">
        <f t="shared" ref="M6:M63" si="1">I6-F6</f>
        <v>135.72499999999999</v>
      </c>
    </row>
    <row r="7" spans="1:13" ht="12" customHeight="1">
      <c r="A7" s="305"/>
      <c r="B7" s="304" t="s">
        <v>340</v>
      </c>
      <c r="C7" s="155">
        <v>1030</v>
      </c>
      <c r="D7" s="1119"/>
      <c r="E7" s="1120">
        <f>реал!E114+реал!E116</f>
        <v>91292.292000000001</v>
      </c>
      <c r="F7" s="1115">
        <f t="shared" ref="F7:F10" si="2">E7</f>
        <v>91292.292000000001</v>
      </c>
      <c r="G7" s="1114"/>
      <c r="H7" s="1117"/>
      <c r="I7" s="1115">
        <f t="shared" si="0"/>
        <v>80227.793999999994</v>
      </c>
      <c r="J7" s="1115">
        <v>80152.793999999994</v>
      </c>
      <c r="K7" s="1115">
        <v>75</v>
      </c>
      <c r="L7" s="1118"/>
      <c r="M7" s="1115">
        <f t="shared" si="1"/>
        <v>-11064.498000000007</v>
      </c>
    </row>
    <row r="8" spans="1:13" ht="12" customHeight="1">
      <c r="A8" s="305"/>
      <c r="B8" s="306" t="s">
        <v>341</v>
      </c>
      <c r="C8" s="156">
        <v>1100</v>
      </c>
      <c r="D8" s="1121"/>
      <c r="E8" s="1120">
        <f>реал!E126</f>
        <v>432</v>
      </c>
      <c r="F8" s="1115">
        <f t="shared" si="2"/>
        <v>432</v>
      </c>
      <c r="G8" s="1114"/>
      <c r="H8" s="1122"/>
      <c r="I8" s="1115">
        <f t="shared" si="0"/>
        <v>673.4</v>
      </c>
      <c r="J8" s="1123">
        <v>664.4</v>
      </c>
      <c r="K8" s="1123">
        <v>9</v>
      </c>
      <c r="L8" s="1124"/>
      <c r="M8" s="1115">
        <f t="shared" si="1"/>
        <v>241.39999999999998</v>
      </c>
    </row>
    <row r="9" spans="1:13" ht="12" customHeight="1">
      <c r="A9" s="305"/>
      <c r="B9" s="306" t="s">
        <v>599</v>
      </c>
      <c r="C9" s="156"/>
      <c r="D9" s="1121"/>
      <c r="E9" s="1120">
        <f>реал!E110</f>
        <v>16925.994999999999</v>
      </c>
      <c r="F9" s="1115">
        <f t="shared" ref="F9" si="3">E9</f>
        <v>16925.994999999999</v>
      </c>
      <c r="G9" s="1114"/>
      <c r="H9" s="1117"/>
      <c r="I9" s="1115">
        <f t="shared" ref="I9" si="4">J9+K9</f>
        <v>14405.81085</v>
      </c>
      <c r="J9" s="1115">
        <v>12155.85685</v>
      </c>
      <c r="K9" s="1115">
        <v>2249.9540000000002</v>
      </c>
      <c r="L9" s="1118"/>
      <c r="M9" s="1115">
        <f t="shared" ref="M9" si="5">I9-F9</f>
        <v>-2520.1841499999991</v>
      </c>
    </row>
    <row r="10" spans="1:13" ht="12" customHeight="1">
      <c r="A10" s="305"/>
      <c r="B10" s="306" t="s">
        <v>342</v>
      </c>
      <c r="C10" s="156">
        <v>1050</v>
      </c>
      <c r="D10" s="1121"/>
      <c r="E10" s="1120">
        <f>реал!E124</f>
        <v>0</v>
      </c>
      <c r="F10" s="1115">
        <f t="shared" si="2"/>
        <v>0</v>
      </c>
      <c r="G10" s="1114"/>
      <c r="H10" s="1117"/>
      <c r="I10" s="1115">
        <f t="shared" si="0"/>
        <v>61.48516</v>
      </c>
      <c r="J10" s="1115"/>
      <c r="K10" s="1115">
        <v>61.48516</v>
      </c>
      <c r="L10" s="1118"/>
      <c r="M10" s="1115">
        <f t="shared" si="1"/>
        <v>61.48516</v>
      </c>
    </row>
    <row r="11" spans="1:13" ht="12" customHeight="1" thickBot="1">
      <c r="A11" s="305"/>
      <c r="B11" s="306" t="s">
        <v>343</v>
      </c>
      <c r="C11" s="156">
        <v>1200</v>
      </c>
      <c r="D11" s="1121"/>
      <c r="E11" s="1120">
        <f>реал!E125</f>
        <v>4330.5342808326714</v>
      </c>
      <c r="F11" s="1115">
        <f>E11</f>
        <v>4330.5342808326714</v>
      </c>
      <c r="G11" s="1114"/>
      <c r="H11" s="1117"/>
      <c r="I11" s="1115">
        <f t="shared" si="0"/>
        <v>1513.0058899999999</v>
      </c>
      <c r="J11" s="1115">
        <v>10.8</v>
      </c>
      <c r="K11" s="1115">
        <v>1502.20589</v>
      </c>
      <c r="L11" s="1118"/>
      <c r="M11" s="1125">
        <f t="shared" si="1"/>
        <v>-2817.5283908326714</v>
      </c>
    </row>
    <row r="12" spans="1:13" s="300" customFormat="1" ht="12" customHeight="1" thickBot="1">
      <c r="A12" s="297"/>
      <c r="B12" s="298" t="s">
        <v>235</v>
      </c>
      <c r="C12" s="157"/>
      <c r="D12" s="1126"/>
      <c r="E12" s="1126">
        <f>реал!E127</f>
        <v>756926.23908654891</v>
      </c>
      <c r="F12" s="1126">
        <f>F5+F6+F7+F8+F10+F11</f>
        <v>756926.23908654891</v>
      </c>
      <c r="G12" s="1126"/>
      <c r="H12" s="1127"/>
      <c r="I12" s="1126">
        <f>I5+I6+I7+I8+I10+I11</f>
        <v>549758.04552000004</v>
      </c>
      <c r="J12" s="1126">
        <f>J5+J6+J7+J8+J10+J11+J9</f>
        <v>382170.83274999994</v>
      </c>
      <c r="K12" s="1126">
        <f>K5+K6+K7+K8+K10+K11+K9</f>
        <v>181993.02362000002</v>
      </c>
      <c r="L12" s="1127"/>
      <c r="M12" s="1128">
        <f t="shared" si="1"/>
        <v>-207168.19356654887</v>
      </c>
    </row>
    <row r="13" spans="1:13" ht="12" customHeight="1">
      <c r="A13" s="301"/>
      <c r="B13" s="304" t="s">
        <v>236</v>
      </c>
      <c r="C13" s="155">
        <v>6100</v>
      </c>
      <c r="D13" s="1119"/>
      <c r="E13" s="1115">
        <f>[1]БДДС!E18</f>
        <v>75000</v>
      </c>
      <c r="F13" s="1115">
        <f>[1]БДДС!F18</f>
        <v>75000</v>
      </c>
      <c r="G13" s="1114"/>
      <c r="H13" s="1129"/>
      <c r="I13" s="1115">
        <f>J13+K13</f>
        <v>40000</v>
      </c>
      <c r="J13" s="1130">
        <v>40000</v>
      </c>
      <c r="K13" s="1130"/>
      <c r="L13" s="1129"/>
      <c r="M13" s="1115">
        <f t="shared" si="1"/>
        <v>-35000</v>
      </c>
    </row>
    <row r="14" spans="1:13" ht="12" customHeight="1">
      <c r="A14" s="305"/>
      <c r="B14" s="306" t="s">
        <v>237</v>
      </c>
      <c r="C14" s="156">
        <v>6200</v>
      </c>
      <c r="D14" s="1121"/>
      <c r="E14" s="1115">
        <f>[1]БДДС!E19</f>
        <v>0</v>
      </c>
      <c r="F14" s="1115">
        <f>[1]БДДС!F19</f>
        <v>0</v>
      </c>
      <c r="G14" s="1114"/>
      <c r="H14" s="1122"/>
      <c r="I14" s="1115">
        <f>J14+K14</f>
        <v>0</v>
      </c>
      <c r="J14" s="1123"/>
      <c r="K14" s="1123"/>
      <c r="L14" s="1122"/>
      <c r="M14" s="1115">
        <f t="shared" si="1"/>
        <v>0</v>
      </c>
    </row>
    <row r="15" spans="1:13" ht="12" customHeight="1">
      <c r="A15" s="305"/>
      <c r="B15" s="304" t="s">
        <v>238</v>
      </c>
      <c r="C15" s="156">
        <v>6150</v>
      </c>
      <c r="D15" s="1121"/>
      <c r="E15" s="1115">
        <f>[1]БДДС!E20</f>
        <v>0</v>
      </c>
      <c r="F15" s="1115">
        <f>[1]БДДС!F20</f>
        <v>0</v>
      </c>
      <c r="G15" s="1114"/>
      <c r="H15" s="1122"/>
      <c r="I15" s="1115">
        <f>J15+K15</f>
        <v>0</v>
      </c>
      <c r="J15" s="1123"/>
      <c r="K15" s="1123"/>
      <c r="L15" s="1122"/>
      <c r="M15" s="1115">
        <f t="shared" si="1"/>
        <v>0</v>
      </c>
    </row>
    <row r="16" spans="1:13" ht="12" customHeight="1">
      <c r="A16" s="305"/>
      <c r="B16" s="306" t="s">
        <v>239</v>
      </c>
      <c r="C16" s="156">
        <v>6400</v>
      </c>
      <c r="D16" s="1121"/>
      <c r="E16" s="1115">
        <f>[1]БДДС!E21</f>
        <v>0</v>
      </c>
      <c r="F16" s="1115">
        <v>0</v>
      </c>
      <c r="G16" s="1120"/>
      <c r="H16" s="1122"/>
      <c r="I16" s="1115">
        <f>J16+K16</f>
        <v>0</v>
      </c>
      <c r="J16" s="1123"/>
      <c r="K16" s="1123"/>
      <c r="L16" s="1122"/>
      <c r="M16" s="1115">
        <f t="shared" si="1"/>
        <v>0</v>
      </c>
    </row>
    <row r="17" spans="1:13" ht="12" customHeight="1">
      <c r="A17" s="305"/>
      <c r="B17" s="306" t="s">
        <v>240</v>
      </c>
      <c r="C17" s="156">
        <v>6500</v>
      </c>
      <c r="D17" s="1121"/>
      <c r="E17" s="1120">
        <f>SUM(E18:E24)</f>
        <v>15082.807205479452</v>
      </c>
      <c r="F17" s="1120">
        <f>SUM(F18:F24)</f>
        <v>15082.807205479452</v>
      </c>
      <c r="G17" s="1120"/>
      <c r="H17" s="1122"/>
      <c r="I17" s="1115">
        <f>SUM(I18:I24)</f>
        <v>13859.883989999998</v>
      </c>
      <c r="J17" s="1115">
        <f>SUM(J18:J25)</f>
        <v>13859.883989999998</v>
      </c>
      <c r="K17" s="1115">
        <f>SUM(K18:K24)</f>
        <v>0</v>
      </c>
      <c r="L17" s="1122"/>
      <c r="M17" s="1115">
        <f t="shared" si="1"/>
        <v>-1222.9232154794536</v>
      </c>
    </row>
    <row r="18" spans="1:13" s="308" customFormat="1" ht="12" hidden="1" customHeight="1">
      <c r="A18" s="303"/>
      <c r="B18" s="307" t="s">
        <v>241</v>
      </c>
      <c r="C18" s="158">
        <v>6501</v>
      </c>
      <c r="D18" s="1131"/>
      <c r="E18" s="1123">
        <f>БДР!C29</f>
        <v>0</v>
      </c>
      <c r="F18" s="1132">
        <f>E18</f>
        <v>0</v>
      </c>
      <c r="G18" s="1132"/>
      <c r="H18" s="1122"/>
      <c r="I18" s="1115">
        <f>J18+K18</f>
        <v>0</v>
      </c>
      <c r="J18" s="1123"/>
      <c r="K18" s="1123"/>
      <c r="L18" s="1122"/>
      <c r="M18" s="1115">
        <f t="shared" si="1"/>
        <v>0</v>
      </c>
    </row>
    <row r="19" spans="1:13" s="308" customFormat="1" ht="12" hidden="1" customHeight="1">
      <c r="A19" s="303"/>
      <c r="B19" s="307" t="s">
        <v>207</v>
      </c>
      <c r="C19" s="158">
        <v>6502</v>
      </c>
      <c r="D19" s="1131"/>
      <c r="E19" s="1123">
        <f>БДР!C30</f>
        <v>0</v>
      </c>
      <c r="F19" s="1132">
        <f t="shared" ref="F19:F22" si="6">E19</f>
        <v>0</v>
      </c>
      <c r="G19" s="1132"/>
      <c r="H19" s="1122"/>
      <c r="I19" s="1115">
        <f t="shared" ref="I19:I27" si="7">J19+K19</f>
        <v>0</v>
      </c>
      <c r="J19" s="1123"/>
      <c r="K19" s="1123"/>
      <c r="L19" s="1122"/>
      <c r="M19" s="1115">
        <f t="shared" si="1"/>
        <v>0</v>
      </c>
    </row>
    <row r="20" spans="1:13" s="308" customFormat="1" ht="12" hidden="1" customHeight="1">
      <c r="A20" s="303"/>
      <c r="B20" s="307" t="s">
        <v>208</v>
      </c>
      <c r="C20" s="158">
        <v>6503</v>
      </c>
      <c r="D20" s="1131"/>
      <c r="E20" s="1123">
        <f>БДР!C31</f>
        <v>0</v>
      </c>
      <c r="F20" s="1132">
        <f t="shared" si="6"/>
        <v>0</v>
      </c>
      <c r="G20" s="1132"/>
      <c r="H20" s="1122"/>
      <c r="I20" s="1115">
        <f t="shared" si="7"/>
        <v>0</v>
      </c>
      <c r="J20" s="1123"/>
      <c r="K20" s="1123"/>
      <c r="L20" s="1122"/>
      <c r="M20" s="1115">
        <f t="shared" si="1"/>
        <v>0</v>
      </c>
    </row>
    <row r="21" spans="1:13" s="308" customFormat="1" ht="11.25">
      <c r="A21" s="303"/>
      <c r="B21" s="307" t="s">
        <v>209</v>
      </c>
      <c r="C21" s="158">
        <v>6504</v>
      </c>
      <c r="D21" s="1131"/>
      <c r="E21" s="1123">
        <f>БДР!C32</f>
        <v>0</v>
      </c>
      <c r="F21" s="1132">
        <f t="shared" si="6"/>
        <v>0</v>
      </c>
      <c r="G21" s="1132"/>
      <c r="H21" s="1122"/>
      <c r="I21" s="1115">
        <f t="shared" si="7"/>
        <v>372.49400000000003</v>
      </c>
      <c r="J21" s="1123">
        <v>372.49400000000003</v>
      </c>
      <c r="K21" s="1123"/>
      <c r="L21" s="1122"/>
      <c r="M21" s="1115">
        <f t="shared" si="1"/>
        <v>372.49400000000003</v>
      </c>
    </row>
    <row r="22" spans="1:13" s="308" customFormat="1" ht="11.25">
      <c r="A22" s="303"/>
      <c r="B22" s="307" t="s">
        <v>210</v>
      </c>
      <c r="C22" s="158">
        <v>6505</v>
      </c>
      <c r="D22" s="1131"/>
      <c r="E22" s="1123">
        <f>БДР!C34</f>
        <v>0</v>
      </c>
      <c r="F22" s="1132">
        <f t="shared" si="6"/>
        <v>0</v>
      </c>
      <c r="G22" s="1132"/>
      <c r="H22" s="1122"/>
      <c r="I22" s="1115">
        <f t="shared" si="7"/>
        <v>0</v>
      </c>
      <c r="J22" s="1123"/>
      <c r="K22" s="1123"/>
      <c r="L22" s="1122"/>
      <c r="M22" s="1115">
        <f t="shared" si="1"/>
        <v>0</v>
      </c>
    </row>
    <row r="23" spans="1:13" s="308" customFormat="1" ht="12" customHeight="1" collapsed="1">
      <c r="A23" s="303"/>
      <c r="B23" s="307" t="s">
        <v>242</v>
      </c>
      <c r="C23" s="158">
        <v>6506</v>
      </c>
      <c r="D23" s="1131"/>
      <c r="E23" s="1123">
        <f>БДР!C35</f>
        <v>4115.807205479452</v>
      </c>
      <c r="F23" s="1133">
        <f>E23</f>
        <v>4115.807205479452</v>
      </c>
      <c r="G23" s="1132"/>
      <c r="H23" s="1122"/>
      <c r="I23" s="1115">
        <f t="shared" si="7"/>
        <v>4129.3297899999998</v>
      </c>
      <c r="J23" s="1123">
        <v>4129.3297899999998</v>
      </c>
      <c r="K23" s="1123"/>
      <c r="L23" s="1122"/>
      <c r="M23" s="1115">
        <f t="shared" si="1"/>
        <v>13.522584520547753</v>
      </c>
    </row>
    <row r="24" spans="1:13" s="308" customFormat="1" ht="11.25" customHeight="1">
      <c r="A24" s="303"/>
      <c r="B24" s="307" t="s">
        <v>212</v>
      </c>
      <c r="C24" s="158">
        <v>6507</v>
      </c>
      <c r="D24" s="1131"/>
      <c r="E24" s="1123">
        <f>БДР!C36</f>
        <v>10967</v>
      </c>
      <c r="F24" s="1133">
        <f t="shared" ref="F24:F27" si="8">E24</f>
        <v>10967</v>
      </c>
      <c r="G24" s="1132"/>
      <c r="H24" s="1122"/>
      <c r="I24" s="1115">
        <f t="shared" si="7"/>
        <v>9358.0601999999999</v>
      </c>
      <c r="J24" s="1123">
        <v>9358.0601999999999</v>
      </c>
      <c r="K24" s="1123"/>
      <c r="L24" s="1122"/>
      <c r="M24" s="1115">
        <f t="shared" si="1"/>
        <v>-1608.9398000000001</v>
      </c>
    </row>
    <row r="25" spans="1:13" s="308" customFormat="1" ht="11.25" customHeight="1">
      <c r="A25" s="303"/>
      <c r="B25" s="307" t="s">
        <v>510</v>
      </c>
      <c r="C25" s="158"/>
      <c r="D25" s="1131"/>
      <c r="E25" s="1115">
        <f>[1]БДДС!E30</f>
        <v>0</v>
      </c>
      <c r="F25" s="1133">
        <f t="shared" si="8"/>
        <v>0</v>
      </c>
      <c r="G25" s="1132"/>
      <c r="H25" s="1122"/>
      <c r="I25" s="1115"/>
      <c r="J25" s="1123"/>
      <c r="K25" s="1123"/>
      <c r="L25" s="1122"/>
      <c r="M25" s="1115"/>
    </row>
    <row r="26" spans="1:13" s="308" customFormat="1" ht="12" customHeight="1">
      <c r="A26" s="303"/>
      <c r="B26" s="307" t="s">
        <v>685</v>
      </c>
      <c r="C26" s="158">
        <v>6600</v>
      </c>
      <c r="D26" s="1131"/>
      <c r="E26" s="1115">
        <f>[1]БДДС!$E$32</f>
        <v>8000</v>
      </c>
      <c r="F26" s="1133">
        <f t="shared" si="8"/>
        <v>8000</v>
      </c>
      <c r="G26" s="1132"/>
      <c r="H26" s="1122"/>
      <c r="I26" s="1115">
        <f t="shared" si="7"/>
        <v>0</v>
      </c>
      <c r="J26" s="1123"/>
      <c r="K26" s="1123"/>
      <c r="L26" s="1122"/>
      <c r="M26" s="1115">
        <f t="shared" si="1"/>
        <v>-8000</v>
      </c>
    </row>
    <row r="27" spans="1:13" ht="12" customHeight="1" thickBot="1">
      <c r="A27" s="305"/>
      <c r="B27" s="306" t="s">
        <v>243</v>
      </c>
      <c r="C27" s="156">
        <v>6700</v>
      </c>
      <c r="D27" s="1121"/>
      <c r="E27" s="1120">
        <f>БДР!C39</f>
        <v>0</v>
      </c>
      <c r="F27" s="1133">
        <f t="shared" si="8"/>
        <v>0</v>
      </c>
      <c r="G27" s="1114"/>
      <c r="H27" s="1122"/>
      <c r="I27" s="1115">
        <f t="shared" si="7"/>
        <v>9207.7262100000007</v>
      </c>
      <c r="J27" s="1123">
        <f>164.68495+8434.98333</f>
        <v>8599.6682799999999</v>
      </c>
      <c r="K27" s="2143">
        <f>0.5823+482.50096+7.263+117.71167</f>
        <v>608.05792999999994</v>
      </c>
      <c r="L27" s="1122"/>
      <c r="M27" s="1125">
        <f t="shared" si="1"/>
        <v>9207.7262100000007</v>
      </c>
    </row>
    <row r="28" spans="1:13" s="300" customFormat="1" ht="12" customHeight="1" thickBot="1">
      <c r="A28" s="297"/>
      <c r="B28" s="298" t="s">
        <v>244</v>
      </c>
      <c r="C28" s="157"/>
      <c r="D28" s="1126"/>
      <c r="E28" s="1126">
        <f>E13+E14+E15+E16+E17+E25+E26+E27</f>
        <v>98082.807205479447</v>
      </c>
      <c r="F28" s="1126">
        <f>F13+F14+F15+F16+F17+F25+F26+F27</f>
        <v>98082.807205479447</v>
      </c>
      <c r="G28" s="1126"/>
      <c r="H28" s="1127"/>
      <c r="I28" s="1126">
        <f>I13+I14+I15+I16+I17+I26+I27</f>
        <v>63067.610200000003</v>
      </c>
      <c r="J28" s="1126">
        <f>J13+J14+J15+J16+J17+J26+J27</f>
        <v>62459.55227</v>
      </c>
      <c r="K28" s="1126">
        <f>K13+K14+K15+K16+K17+K26+K27</f>
        <v>608.05792999999994</v>
      </c>
      <c r="L28" s="1127"/>
      <c r="M28" s="1134">
        <f>I28-F28</f>
        <v>-35015.197005479444</v>
      </c>
    </row>
    <row r="29" spans="1:13" s="300" customFormat="1" ht="12" customHeight="1" thickBot="1">
      <c r="A29" s="297"/>
      <c r="B29" s="298" t="s">
        <v>245</v>
      </c>
      <c r="C29" s="157"/>
      <c r="D29" s="1126"/>
      <c r="E29" s="1126">
        <f>E12+E28</f>
        <v>855009.04629202839</v>
      </c>
      <c r="F29" s="1126">
        <f>F12+F28</f>
        <v>855009.04629202839</v>
      </c>
      <c r="G29" s="1126"/>
      <c r="H29" s="1127"/>
      <c r="I29" s="1126">
        <f>I12+I28</f>
        <v>612825.65572000004</v>
      </c>
      <c r="J29" s="1126">
        <f>J12+J28</f>
        <v>444630.38501999993</v>
      </c>
      <c r="K29" s="2142">
        <f>K12+K28</f>
        <v>182601.08155000003</v>
      </c>
      <c r="L29" s="1135"/>
      <c r="M29" s="1134">
        <f>I29-F29</f>
        <v>-242183.39057202835</v>
      </c>
    </row>
    <row r="30" spans="1:13" s="300" customFormat="1" ht="4.5" customHeight="1">
      <c r="A30" s="719"/>
      <c r="B30" s="720"/>
      <c r="C30" s="721"/>
      <c r="D30" s="1136"/>
      <c r="E30" s="1136"/>
      <c r="F30" s="1136"/>
      <c r="G30" s="1136"/>
      <c r="H30" s="1136"/>
      <c r="I30" s="1136"/>
      <c r="J30" s="1136"/>
      <c r="K30" s="1136"/>
      <c r="L30" s="1135"/>
      <c r="M30" s="1137">
        <f>I30-F30</f>
        <v>0</v>
      </c>
    </row>
    <row r="31" spans="1:13" s="290" customFormat="1" ht="12" customHeight="1">
      <c r="A31" s="301"/>
      <c r="B31" s="304" t="s">
        <v>246</v>
      </c>
      <c r="C31" s="155"/>
      <c r="D31" s="1115"/>
      <c r="E31" s="1115">
        <f>SUM(E32:E47)</f>
        <v>338801.14016079495</v>
      </c>
      <c r="F31" s="1115">
        <f>SUM(F32:F47)</f>
        <v>335505.68147620565</v>
      </c>
      <c r="G31" s="1115"/>
      <c r="H31" s="1117"/>
      <c r="I31" s="1138">
        <f>SUM(I32:I47)</f>
        <v>280746.85852000001</v>
      </c>
      <c r="J31" s="1138">
        <f>SUM(J32:J47)</f>
        <v>277682.57783000002</v>
      </c>
      <c r="K31" s="1138">
        <f>SUM(K32:K47)</f>
        <v>3064.28069</v>
      </c>
      <c r="L31" s="1117"/>
      <c r="M31" s="1115">
        <f t="shared" si="1"/>
        <v>-54758.822956205637</v>
      </c>
    </row>
    <row r="32" spans="1:13" ht="12" customHeight="1">
      <c r="A32" s="303"/>
      <c r="B32" s="307" t="s">
        <v>505</v>
      </c>
      <c r="C32" s="158">
        <v>2001</v>
      </c>
      <c r="D32" s="1133" t="s">
        <v>229</v>
      </c>
      <c r="E32" s="1133">
        <f>[1]БДДС!E37</f>
        <v>193640.91804867348</v>
      </c>
      <c r="F32" s="1133">
        <f>[1]БДДС!F37</f>
        <v>190345.45936408418</v>
      </c>
      <c r="G32" s="1132"/>
      <c r="H32" s="1117"/>
      <c r="I32" s="1138">
        <f>J32+K32</f>
        <v>161500</v>
      </c>
      <c r="J32" s="1115">
        <v>161500</v>
      </c>
      <c r="K32" s="1139"/>
      <c r="L32" s="1117"/>
      <c r="M32" s="1115">
        <f t="shared" si="1"/>
        <v>-28845.459364084178</v>
      </c>
    </row>
    <row r="33" spans="1:13" ht="12" customHeight="1">
      <c r="A33" s="303"/>
      <c r="B33" s="307" t="s">
        <v>247</v>
      </c>
      <c r="C33" s="158">
        <v>2020</v>
      </c>
      <c r="D33" s="1131"/>
      <c r="E33" s="1133">
        <v>1970.3286508917395</v>
      </c>
      <c r="F33" s="1133">
        <f>[1]БДДС!F38</f>
        <v>1970.3286508917395</v>
      </c>
      <c r="G33" s="1132"/>
      <c r="H33" s="1117"/>
      <c r="I33" s="1138">
        <f t="shared" ref="I33:I49" si="9">J33+K33</f>
        <v>1023.9608899999999</v>
      </c>
      <c r="J33" s="1115">
        <v>1023.9608899999999</v>
      </c>
      <c r="K33" s="1139"/>
      <c r="L33" s="1117"/>
      <c r="M33" s="1115">
        <f t="shared" si="1"/>
        <v>-946.36776089173952</v>
      </c>
    </row>
    <row r="34" spans="1:13" ht="12" customHeight="1">
      <c r="A34" s="303"/>
      <c r="B34" s="307" t="s">
        <v>248</v>
      </c>
      <c r="C34" s="158">
        <v>2030</v>
      </c>
      <c r="D34" s="1131"/>
      <c r="E34" s="1133">
        <v>10021.875450000001</v>
      </c>
      <c r="F34" s="1133">
        <f>[1]БДДС!F39</f>
        <v>10021.875450000001</v>
      </c>
      <c r="G34" s="1132">
        <f>D34+E34-F34</f>
        <v>0</v>
      </c>
      <c r="H34" s="1117"/>
      <c r="I34" s="1138">
        <f t="shared" si="9"/>
        <v>8658.9253900000003</v>
      </c>
      <c r="J34" s="1115">
        <v>8658.9253900000003</v>
      </c>
      <c r="K34" s="1139"/>
      <c r="L34" s="1117"/>
      <c r="M34" s="1115">
        <f t="shared" si="1"/>
        <v>-1362.950060000001</v>
      </c>
    </row>
    <row r="35" spans="1:13" ht="12" customHeight="1">
      <c r="A35" s="303"/>
      <c r="B35" s="307" t="s">
        <v>249</v>
      </c>
      <c r="C35" s="158">
        <v>2040</v>
      </c>
      <c r="D35" s="1131"/>
      <c r="E35" s="1133">
        <v>31653.933250000002</v>
      </c>
      <c r="F35" s="1133">
        <f>[1]БДДС!F40</f>
        <v>31653.933250000002</v>
      </c>
      <c r="G35" s="1132"/>
      <c r="H35" s="1117"/>
      <c r="I35" s="1138">
        <f t="shared" si="9"/>
        <v>26828.633249999999</v>
      </c>
      <c r="J35" s="1115">
        <v>26828.633249999999</v>
      </c>
      <c r="K35" s="1139"/>
      <c r="L35" s="1117"/>
      <c r="M35" s="1115">
        <f t="shared" si="1"/>
        <v>-4825.3000000000029</v>
      </c>
    </row>
    <row r="36" spans="1:13" ht="12" customHeight="1">
      <c r="A36" s="303"/>
      <c r="B36" s="307" t="s">
        <v>250</v>
      </c>
      <c r="C36" s="158">
        <v>2041</v>
      </c>
      <c r="D36" s="1131"/>
      <c r="E36" s="1133">
        <v>7316.9600000000009</v>
      </c>
      <c r="F36" s="1133">
        <f>[1]БДДС!F41</f>
        <v>7316.9600000000009</v>
      </c>
      <c r="G36" s="1132"/>
      <c r="H36" s="1117"/>
      <c r="I36" s="1138">
        <f t="shared" si="9"/>
        <v>8548.3212800000001</v>
      </c>
      <c r="J36" s="1115">
        <v>8548.3212800000001</v>
      </c>
      <c r="K36" s="1139"/>
      <c r="L36" s="1117"/>
      <c r="M36" s="1115">
        <f t="shared" si="1"/>
        <v>1231.3612799999992</v>
      </c>
    </row>
    <row r="37" spans="1:13" ht="12" customHeight="1">
      <c r="A37" s="303"/>
      <c r="B37" s="307" t="s">
        <v>251</v>
      </c>
      <c r="C37" s="158">
        <v>2042</v>
      </c>
      <c r="D37" s="1131"/>
      <c r="E37" s="1133">
        <v>1737.9641560000002</v>
      </c>
      <c r="F37" s="1133">
        <f>[1]БДДС!F42</f>
        <v>1737.9641560000002</v>
      </c>
      <c r="G37" s="1132"/>
      <c r="H37" s="1117"/>
      <c r="I37" s="1138">
        <f t="shared" si="9"/>
        <v>2054.8308499999998</v>
      </c>
      <c r="J37" s="1115">
        <v>1870.90319</v>
      </c>
      <c r="K37" s="1139">
        <v>183.92766</v>
      </c>
      <c r="L37" s="1117"/>
      <c r="M37" s="1115">
        <f t="shared" si="1"/>
        <v>316.8666939999996</v>
      </c>
    </row>
    <row r="38" spans="1:13" ht="12" customHeight="1">
      <c r="A38" s="303"/>
      <c r="B38" s="307" t="s">
        <v>252</v>
      </c>
      <c r="C38" s="158">
        <v>2043</v>
      </c>
      <c r="D38" s="1131"/>
      <c r="E38" s="1133">
        <v>7122.8249999999998</v>
      </c>
      <c r="F38" s="1133">
        <f>[1]БДДС!F43</f>
        <v>7122.8249999999998</v>
      </c>
      <c r="G38" s="1132"/>
      <c r="H38" s="1117"/>
      <c r="I38" s="1138">
        <f t="shared" si="9"/>
        <v>5999.0527499999998</v>
      </c>
      <c r="J38" s="1115">
        <v>5792.7972499999996</v>
      </c>
      <c r="K38" s="1139">
        <v>206.25550000000001</v>
      </c>
      <c r="L38" s="1117"/>
      <c r="M38" s="1115">
        <f t="shared" si="1"/>
        <v>-1123.77225</v>
      </c>
    </row>
    <row r="39" spans="1:13" ht="12" customHeight="1">
      <c r="A39" s="303"/>
      <c r="B39" s="307" t="s">
        <v>253</v>
      </c>
      <c r="C39" s="158">
        <v>2044</v>
      </c>
      <c r="D39" s="1131"/>
      <c r="E39" s="1133">
        <v>1375.7184999999999</v>
      </c>
      <c r="F39" s="1133">
        <f>[1]БДДС!F44</f>
        <v>1375.7184999999999</v>
      </c>
      <c r="G39" s="1132"/>
      <c r="H39" s="1117"/>
      <c r="I39" s="1138">
        <f t="shared" si="9"/>
        <v>1375.45218</v>
      </c>
      <c r="J39" s="1115">
        <v>1161.0387499999999</v>
      </c>
      <c r="K39" s="1139">
        <v>214.41343000000001</v>
      </c>
      <c r="L39" s="1117"/>
      <c r="M39" s="1115">
        <f t="shared" si="1"/>
        <v>-0.2663199999999506</v>
      </c>
    </row>
    <row r="40" spans="1:13" ht="12" customHeight="1">
      <c r="A40" s="303"/>
      <c r="B40" s="307" t="s">
        <v>254</v>
      </c>
      <c r="C40" s="158">
        <v>2045</v>
      </c>
      <c r="D40" s="1131"/>
      <c r="E40" s="1133">
        <v>415.55387866666672</v>
      </c>
      <c r="F40" s="1133">
        <f>[1]БДДС!F45</f>
        <v>415.55387866666672</v>
      </c>
      <c r="G40" s="1132"/>
      <c r="H40" s="1117"/>
      <c r="I40" s="1138">
        <f t="shared" si="9"/>
        <v>402.37205</v>
      </c>
      <c r="J40" s="1115">
        <v>401.94305000000003</v>
      </c>
      <c r="K40" s="1139">
        <v>0.42899999999999999</v>
      </c>
      <c r="L40" s="1117"/>
      <c r="M40" s="1115">
        <f t="shared" si="1"/>
        <v>-13.181828666666718</v>
      </c>
    </row>
    <row r="41" spans="1:13" ht="12" customHeight="1">
      <c r="A41" s="303"/>
      <c r="B41" s="307" t="s">
        <v>681</v>
      </c>
      <c r="C41" s="158">
        <v>2055</v>
      </c>
      <c r="D41" s="1131"/>
      <c r="E41" s="1133">
        <v>287.60000000000002</v>
      </c>
      <c r="F41" s="1133">
        <f>E41</f>
        <v>287.60000000000002</v>
      </c>
      <c r="G41" s="1132"/>
      <c r="H41" s="1117"/>
      <c r="I41" s="1138">
        <f>J41+K41</f>
        <v>59.295000000000002</v>
      </c>
      <c r="J41" s="1115">
        <v>59.295000000000002</v>
      </c>
      <c r="K41" s="1139"/>
      <c r="L41" s="1117"/>
      <c r="M41" s="1115">
        <f>I41-F41</f>
        <v>-228.30500000000001</v>
      </c>
    </row>
    <row r="42" spans="1:13" ht="12" customHeight="1">
      <c r="A42" s="303"/>
      <c r="B42" s="307" t="s">
        <v>689</v>
      </c>
      <c r="C42" s="158"/>
      <c r="D42" s="2063"/>
      <c r="E42" s="1133">
        <v>362.4</v>
      </c>
      <c r="F42" s="2068">
        <f t="shared" ref="F42:F43" si="10">E42</f>
        <v>362.4</v>
      </c>
      <c r="G42" s="2064"/>
      <c r="H42" s="2065"/>
      <c r="I42" s="1138">
        <f t="shared" si="9"/>
        <v>358.21699999999998</v>
      </c>
      <c r="J42" s="2066">
        <v>358.21699999999998</v>
      </c>
      <c r="K42" s="2067"/>
      <c r="L42" s="2065"/>
      <c r="M42" s="2066"/>
    </row>
    <row r="43" spans="1:13" ht="12" customHeight="1">
      <c r="A43" s="2069"/>
      <c r="B43" s="2070" t="s">
        <v>691</v>
      </c>
      <c r="C43" s="158"/>
      <c r="D43" s="2063"/>
      <c r="E43" s="1133">
        <v>44.5</v>
      </c>
      <c r="F43" s="2068">
        <f t="shared" si="10"/>
        <v>44.5</v>
      </c>
      <c r="G43" s="2064"/>
      <c r="H43" s="2065"/>
      <c r="I43" s="1138">
        <f t="shared" si="9"/>
        <v>334.27580999999998</v>
      </c>
      <c r="J43" s="2066">
        <v>334.27580999999998</v>
      </c>
      <c r="K43" s="2067"/>
      <c r="L43" s="2065"/>
      <c r="M43" s="2066"/>
    </row>
    <row r="44" spans="1:13" ht="12" customHeight="1">
      <c r="A44" s="303"/>
      <c r="B44" s="307" t="s">
        <v>255</v>
      </c>
      <c r="C44" s="158">
        <v>2050</v>
      </c>
      <c r="D44" s="1131"/>
      <c r="E44" s="1133">
        <v>35981.164040519929</v>
      </c>
      <c r="F44" s="1133">
        <f>[1]БДДС!F46</f>
        <v>35981.164040519929</v>
      </c>
      <c r="G44" s="1132"/>
      <c r="H44" s="1117"/>
      <c r="I44" s="1138">
        <f>J44+K44</f>
        <v>30413.028539999999</v>
      </c>
      <c r="J44" s="1115">
        <v>29818.23054</v>
      </c>
      <c r="K44" s="1139">
        <v>594.798</v>
      </c>
      <c r="L44" s="1117"/>
      <c r="M44" s="1115">
        <f>I44-F44</f>
        <v>-5568.1355005199293</v>
      </c>
    </row>
    <row r="45" spans="1:13" ht="12" customHeight="1">
      <c r="A45" s="303"/>
      <c r="B45" s="307" t="s">
        <v>690</v>
      </c>
      <c r="C45" s="158"/>
      <c r="D45" s="1131"/>
      <c r="E45" s="1133">
        <v>424</v>
      </c>
      <c r="F45" s="1133">
        <f>E45</f>
        <v>424</v>
      </c>
      <c r="G45" s="1132"/>
      <c r="H45" s="1117"/>
      <c r="I45" s="1138">
        <f>J45+K45</f>
        <v>449.16</v>
      </c>
      <c r="J45" s="1115">
        <v>449.16</v>
      </c>
      <c r="K45" s="1139"/>
      <c r="L45" s="1117"/>
      <c r="M45" s="1115"/>
    </row>
    <row r="46" spans="1:13" ht="12" customHeight="1">
      <c r="A46" s="309"/>
      <c r="B46" s="307" t="s">
        <v>256</v>
      </c>
      <c r="C46" s="158">
        <v>2200</v>
      </c>
      <c r="D46" s="1131"/>
      <c r="E46" s="1133">
        <f>[1]БДДС!E48</f>
        <v>23490.893925203625</v>
      </c>
      <c r="F46" s="1133">
        <f>E46</f>
        <v>23490.893925203625</v>
      </c>
      <c r="G46" s="1132">
        <f>D46+E46-F46</f>
        <v>0</v>
      </c>
      <c r="H46" s="1117"/>
      <c r="I46" s="1138">
        <f t="shared" si="9"/>
        <v>18463.558150000001</v>
      </c>
      <c r="J46" s="1115">
        <v>18463.558150000001</v>
      </c>
      <c r="K46" s="1139"/>
      <c r="L46" s="1117"/>
      <c r="M46" s="1115">
        <f t="shared" si="1"/>
        <v>-5027.3357752036245</v>
      </c>
    </row>
    <row r="47" spans="1:13" ht="12" customHeight="1">
      <c r="A47" s="309"/>
      <c r="B47" s="307" t="s">
        <v>257</v>
      </c>
      <c r="C47" s="158">
        <v>2300</v>
      </c>
      <c r="D47" s="1131"/>
      <c r="E47" s="1133">
        <f>[1]БДДС!E49</f>
        <v>22954.505260839498</v>
      </c>
      <c r="F47" s="1133">
        <f>E47</f>
        <v>22954.505260839498</v>
      </c>
      <c r="G47" s="1132">
        <f>D47+E47-F47</f>
        <v>0</v>
      </c>
      <c r="H47" s="1117"/>
      <c r="I47" s="1138">
        <f t="shared" si="9"/>
        <v>14277.775379999999</v>
      </c>
      <c r="J47" s="1115">
        <v>12413.31828</v>
      </c>
      <c r="K47" s="1139">
        <v>1864.4571000000001</v>
      </c>
      <c r="L47" s="1117"/>
      <c r="M47" s="1115">
        <f t="shared" si="1"/>
        <v>-8676.7298808394989</v>
      </c>
    </row>
    <row r="48" spans="1:13" s="290" customFormat="1" ht="12" customHeight="1">
      <c r="A48" s="301"/>
      <c r="B48" s="304" t="s">
        <v>73</v>
      </c>
      <c r="C48" s="155">
        <v>3000</v>
      </c>
      <c r="D48" s="1140"/>
      <c r="E48" s="1141">
        <f>[1]БДДС!E50</f>
        <v>88617.600000000006</v>
      </c>
      <c r="F48" s="1141">
        <f>[1]БДДС!F50</f>
        <v>77097.312000000005</v>
      </c>
      <c r="G48" s="1142"/>
      <c r="H48" s="1117"/>
      <c r="I48" s="1138">
        <f t="shared" si="9"/>
        <v>78239.088260000004</v>
      </c>
      <c r="J48" s="1115">
        <v>68843.621220000001</v>
      </c>
      <c r="K48" s="1139">
        <v>9395.4670399999995</v>
      </c>
      <c r="L48" s="1117"/>
      <c r="M48" s="1115">
        <f>I48-F48</f>
        <v>1141.7762599999987</v>
      </c>
    </row>
    <row r="49" spans="1:13" s="290" customFormat="1" ht="12" customHeight="1">
      <c r="A49" s="301"/>
      <c r="B49" s="304" t="s">
        <v>74</v>
      </c>
      <c r="C49" s="155">
        <v>3500</v>
      </c>
      <c r="D49" s="1119"/>
      <c r="E49" s="1141">
        <f>[1]БДДС!E51</f>
        <v>27790.479359999998</v>
      </c>
      <c r="F49" s="1141">
        <f>[1]БДДС!F51</f>
        <v>27790.479359999998</v>
      </c>
      <c r="G49" s="1114"/>
      <c r="H49" s="1117"/>
      <c r="I49" s="1138">
        <f t="shared" si="9"/>
        <v>27759.632099999999</v>
      </c>
      <c r="J49" s="1115">
        <v>27759.632099999999</v>
      </c>
      <c r="K49" s="1139"/>
      <c r="L49" s="1117"/>
      <c r="M49" s="1115">
        <f t="shared" si="1"/>
        <v>-30.847259999998641</v>
      </c>
    </row>
    <row r="50" spans="1:13" ht="12" customHeight="1">
      <c r="A50" s="301"/>
      <c r="B50" s="304" t="s">
        <v>75</v>
      </c>
      <c r="C50" s="158"/>
      <c r="D50" s="2063"/>
      <c r="E50" s="1115">
        <f>SUM(E51:E53)</f>
        <v>18776.064999999999</v>
      </c>
      <c r="F50" s="1115">
        <f>SUM(F51:F53)</f>
        <v>18776.064999999999</v>
      </c>
      <c r="G50" s="1115"/>
      <c r="H50" s="1117"/>
      <c r="I50" s="1138">
        <f>I51+I52+I53</f>
        <v>13185.405570000001</v>
      </c>
      <c r="J50" s="1138">
        <f>J51+J52+J53</f>
        <v>12890.43317</v>
      </c>
      <c r="K50" s="1138">
        <f>K51+K52+K53</f>
        <v>294.97239999999999</v>
      </c>
      <c r="L50" s="2065"/>
      <c r="M50" s="2066"/>
    </row>
    <row r="51" spans="1:13" s="290" customFormat="1" ht="12" customHeight="1">
      <c r="A51" s="301"/>
      <c r="B51" s="310" t="s">
        <v>258</v>
      </c>
      <c r="C51" s="159">
        <v>4001</v>
      </c>
      <c r="D51" s="1143"/>
      <c r="E51" s="1133">
        <f>[1]БДДС!E53</f>
        <v>10624.775</v>
      </c>
      <c r="F51" s="1133">
        <f>[1]БДДС!F53</f>
        <v>10624.775</v>
      </c>
      <c r="G51" s="1132"/>
      <c r="H51" s="1117"/>
      <c r="I51" s="1138">
        <f>J51+K51</f>
        <v>7748.5879199999999</v>
      </c>
      <c r="J51" s="1115">
        <v>7485.5199199999997</v>
      </c>
      <c r="K51" s="1139">
        <v>263.06799999999998</v>
      </c>
      <c r="L51" s="1117"/>
      <c r="M51" s="1115">
        <f t="shared" si="1"/>
        <v>-2876.1870799999997</v>
      </c>
    </row>
    <row r="52" spans="1:13" ht="12" customHeight="1">
      <c r="A52" s="311"/>
      <c r="B52" s="310" t="s">
        <v>259</v>
      </c>
      <c r="C52" s="160">
        <v>4002</v>
      </c>
      <c r="D52" s="1144"/>
      <c r="E52" s="1133">
        <f>[1]БДДС!E54</f>
        <v>3873</v>
      </c>
      <c r="F52" s="1133">
        <f>[1]БДДС!F54</f>
        <v>3873</v>
      </c>
      <c r="G52" s="1132"/>
      <c r="H52" s="1117"/>
      <c r="I52" s="1138">
        <f>J52+K52</f>
        <v>3516.9669100000001</v>
      </c>
      <c r="J52" s="1115">
        <v>3486.0625100000002</v>
      </c>
      <c r="K52" s="1139">
        <v>30.904399999999999</v>
      </c>
      <c r="L52" s="1117"/>
      <c r="M52" s="1115">
        <f t="shared" si="1"/>
        <v>-356.0330899999999</v>
      </c>
    </row>
    <row r="53" spans="1:13" ht="10.5" customHeight="1">
      <c r="A53" s="311"/>
      <c r="B53" s="312" t="s">
        <v>78</v>
      </c>
      <c r="C53" s="161">
        <v>4500</v>
      </c>
      <c r="D53" s="1144"/>
      <c r="E53" s="1133">
        <f>[1]БДДС!E55</f>
        <v>4278.29</v>
      </c>
      <c r="F53" s="1133">
        <f>[1]БДДС!F55</f>
        <v>4278.29</v>
      </c>
      <c r="G53" s="1132"/>
      <c r="H53" s="1117"/>
      <c r="I53" s="1138">
        <f>J53+K53</f>
        <v>1919.8507400000001</v>
      </c>
      <c r="J53" s="1120">
        <v>1918.8507400000001</v>
      </c>
      <c r="K53" s="1145">
        <v>1</v>
      </c>
      <c r="L53" s="1146"/>
      <c r="M53" s="1115">
        <f t="shared" si="1"/>
        <v>-2358.4392600000001</v>
      </c>
    </row>
    <row r="54" spans="1:13" s="290" customFormat="1" ht="12" customHeight="1">
      <c r="A54" s="301"/>
      <c r="B54" s="304" t="s">
        <v>79</v>
      </c>
      <c r="C54" s="155">
        <v>5000</v>
      </c>
      <c r="D54" s="1119"/>
      <c r="E54" s="1115">
        <f>SUM(E55:E62)</f>
        <v>30535.312860000002</v>
      </c>
      <c r="F54" s="1115">
        <f>SUM(F55:F62)</f>
        <v>30535.312860000002</v>
      </c>
      <c r="G54" s="1115"/>
      <c r="H54" s="1117"/>
      <c r="I54" s="1138">
        <f>SUM(I55:I62)</f>
        <v>27701.36116</v>
      </c>
      <c r="J54" s="1138">
        <f>SUM(J55:J62)</f>
        <v>27298.545169999998</v>
      </c>
      <c r="K54" s="1138">
        <f>SUM(K55:K62)</f>
        <v>402.81599000000006</v>
      </c>
      <c r="L54" s="1146"/>
      <c r="M54" s="1115">
        <f t="shared" si="1"/>
        <v>-2833.9517000000014</v>
      </c>
    </row>
    <row r="55" spans="1:13" ht="12.75" customHeight="1">
      <c r="A55" s="311"/>
      <c r="B55" s="312" t="s">
        <v>524</v>
      </c>
      <c r="C55" s="161">
        <v>5001</v>
      </c>
      <c r="D55" s="1144"/>
      <c r="E55" s="1133">
        <f>[1]БДДС!E57</f>
        <v>23908.510000000002</v>
      </c>
      <c r="F55" s="1133">
        <f>[1]БДДС!F57</f>
        <v>23908.510000000002</v>
      </c>
      <c r="G55" s="1132"/>
      <c r="H55" s="1117"/>
      <c r="I55" s="1138">
        <f>J55+K55</f>
        <v>21661.54421</v>
      </c>
      <c r="J55" s="1120">
        <f>23910.0104-J63</f>
        <v>21523.49912</v>
      </c>
      <c r="K55" s="1145">
        <v>138.04508999999999</v>
      </c>
      <c r="L55" s="1146"/>
      <c r="M55" s="1115">
        <f t="shared" si="1"/>
        <v>-2246.965790000002</v>
      </c>
    </row>
    <row r="56" spans="1:13" ht="12" customHeight="1">
      <c r="A56" s="311"/>
      <c r="B56" s="313" t="s">
        <v>260</v>
      </c>
      <c r="C56" s="162">
        <v>5003</v>
      </c>
      <c r="D56" s="1147"/>
      <c r="E56" s="1133">
        <f>[1]БДДС!E58</f>
        <v>0</v>
      </c>
      <c r="F56" s="1133">
        <f>[1]БДДС!F58</f>
        <v>0</v>
      </c>
      <c r="G56" s="1132"/>
      <c r="H56" s="1148"/>
      <c r="I56" s="1138">
        <f t="shared" ref="I56:I63" si="11">J56+K56</f>
        <v>0</v>
      </c>
      <c r="J56" s="1120"/>
      <c r="K56" s="1145"/>
      <c r="L56" s="1149"/>
      <c r="M56" s="1115">
        <f t="shared" si="1"/>
        <v>0</v>
      </c>
    </row>
    <row r="57" spans="1:13" ht="12" customHeight="1">
      <c r="A57" s="303"/>
      <c r="B57" s="314" t="s">
        <v>81</v>
      </c>
      <c r="C57" s="162">
        <v>5200</v>
      </c>
      <c r="D57" s="1150"/>
      <c r="E57" s="1133">
        <f>[1]БДДС!E59</f>
        <v>3051.8028599999998</v>
      </c>
      <c r="F57" s="1133">
        <f>[1]БДДС!F59</f>
        <v>3051.8028599999998</v>
      </c>
      <c r="G57" s="1132"/>
      <c r="H57" s="1151"/>
      <c r="I57" s="1138">
        <f t="shared" si="11"/>
        <v>3232.07971</v>
      </c>
      <c r="J57" s="1120">
        <v>3224.07971</v>
      </c>
      <c r="K57" s="2144">
        <v>8</v>
      </c>
      <c r="L57" s="1149"/>
      <c r="M57" s="1115">
        <f t="shared" si="1"/>
        <v>180.27685000000019</v>
      </c>
    </row>
    <row r="58" spans="1:13" ht="12" customHeight="1">
      <c r="A58" s="303"/>
      <c r="B58" s="307" t="s">
        <v>82</v>
      </c>
      <c r="C58" s="162">
        <v>5300</v>
      </c>
      <c r="D58" s="1131"/>
      <c r="E58" s="1133">
        <f>[1]БДДС!E60</f>
        <v>40.5</v>
      </c>
      <c r="F58" s="1133">
        <f>[1]БДДС!F60</f>
        <v>40.5</v>
      </c>
      <c r="G58" s="1132"/>
      <c r="H58" s="1148"/>
      <c r="I58" s="1138">
        <f t="shared" si="11"/>
        <v>2.0880000000000001</v>
      </c>
      <c r="J58" s="1120">
        <v>0.28799999999999998</v>
      </c>
      <c r="K58" s="1145">
        <v>1.8</v>
      </c>
      <c r="L58" s="1149"/>
      <c r="M58" s="1115">
        <f t="shared" si="1"/>
        <v>-38.411999999999999</v>
      </c>
    </row>
    <row r="59" spans="1:13" ht="12" customHeight="1">
      <c r="A59" s="303"/>
      <c r="B59" s="307" t="s">
        <v>83</v>
      </c>
      <c r="C59" s="162">
        <v>5400</v>
      </c>
      <c r="D59" s="1131"/>
      <c r="E59" s="1133">
        <f>[1]БДДС!E61</f>
        <v>267</v>
      </c>
      <c r="F59" s="1133">
        <f>[1]БДДС!F61</f>
        <v>267</v>
      </c>
      <c r="G59" s="1132"/>
      <c r="H59" s="1151"/>
      <c r="I59" s="1138">
        <f t="shared" si="11"/>
        <v>245.702</v>
      </c>
      <c r="J59" s="1120"/>
      <c r="K59" s="1145">
        <v>245.702</v>
      </c>
      <c r="L59" s="1146"/>
      <c r="M59" s="1115">
        <f t="shared" si="1"/>
        <v>-21.298000000000002</v>
      </c>
    </row>
    <row r="60" spans="1:13" ht="12" customHeight="1">
      <c r="A60" s="303"/>
      <c r="B60" s="314" t="s">
        <v>85</v>
      </c>
      <c r="C60" s="162">
        <v>5500</v>
      </c>
      <c r="D60" s="1150"/>
      <c r="E60" s="1133">
        <f>[1]БДДС!E62</f>
        <v>191.7</v>
      </c>
      <c r="F60" s="1133">
        <f>[1]БДДС!F62</f>
        <v>191.7</v>
      </c>
      <c r="G60" s="1132"/>
      <c r="H60" s="1117"/>
      <c r="I60" s="1138">
        <f t="shared" si="11"/>
        <v>176.44855999999999</v>
      </c>
      <c r="J60" s="1120">
        <v>176.44855999999999</v>
      </c>
      <c r="K60" s="1145"/>
      <c r="L60" s="1146"/>
      <c r="M60" s="1115">
        <f t="shared" si="1"/>
        <v>-15.251440000000002</v>
      </c>
    </row>
    <row r="61" spans="1:13" ht="12" customHeight="1">
      <c r="A61" s="303"/>
      <c r="B61" s="314" t="s">
        <v>261</v>
      </c>
      <c r="C61" s="163">
        <v>5600</v>
      </c>
      <c r="D61" s="1150"/>
      <c r="E61" s="1133">
        <f>[1]БДДС!E63</f>
        <v>2866</v>
      </c>
      <c r="F61" s="1133">
        <f>[1]БДДС!F63</f>
        <v>2866</v>
      </c>
      <c r="G61" s="1132"/>
      <c r="H61" s="1117"/>
      <c r="I61" s="1138">
        <f t="shared" si="11"/>
        <v>1908.9207000000001</v>
      </c>
      <c r="J61" s="1120">
        <v>1908.7018</v>
      </c>
      <c r="K61" s="1145">
        <v>0.21890000000000001</v>
      </c>
      <c r="L61" s="1149"/>
      <c r="M61" s="1115">
        <f t="shared" si="1"/>
        <v>-957.07929999999988</v>
      </c>
    </row>
    <row r="62" spans="1:13" ht="12" customHeight="1">
      <c r="A62" s="303"/>
      <c r="B62" s="314" t="s">
        <v>88</v>
      </c>
      <c r="C62" s="163">
        <v>5700</v>
      </c>
      <c r="D62" s="1150"/>
      <c r="E62" s="1133">
        <f>[1]БДДС!E64</f>
        <v>209.8</v>
      </c>
      <c r="F62" s="1133">
        <f>[1]БДДС!F64</f>
        <v>209.8</v>
      </c>
      <c r="G62" s="1132"/>
      <c r="H62" s="1117"/>
      <c r="I62" s="1138">
        <f t="shared" si="11"/>
        <v>474.57798000000003</v>
      </c>
      <c r="J62" s="1120">
        <f>465.52798</f>
        <v>465.52798000000001</v>
      </c>
      <c r="K62" s="1145">
        <v>9.0500000000000007</v>
      </c>
      <c r="L62" s="1149"/>
      <c r="M62" s="1115">
        <f t="shared" si="1"/>
        <v>264.77798000000001</v>
      </c>
    </row>
    <row r="63" spans="1:13" ht="12" customHeight="1" thickBot="1">
      <c r="A63" s="305"/>
      <c r="B63" s="306" t="s">
        <v>678</v>
      </c>
      <c r="C63" s="156">
        <v>5800</v>
      </c>
      <c r="D63" s="1121"/>
      <c r="E63" s="1133">
        <f>[1]БДДС!E65</f>
        <v>0</v>
      </c>
      <c r="F63" s="1133">
        <f>[1]БДДС!F65</f>
        <v>0</v>
      </c>
      <c r="G63" s="1132"/>
      <c r="H63" s="1148"/>
      <c r="I63" s="1138">
        <f t="shared" si="11"/>
        <v>2386.5112800000002</v>
      </c>
      <c r="J63" s="1152">
        <v>2386.5112800000002</v>
      </c>
      <c r="K63" s="1153"/>
      <c r="L63" s="1146"/>
      <c r="M63" s="1115">
        <f t="shared" si="1"/>
        <v>2386.5112800000002</v>
      </c>
    </row>
    <row r="64" spans="1:13" s="300" customFormat="1" ht="12" customHeight="1" thickBot="1">
      <c r="A64" s="297"/>
      <c r="B64" s="298" t="s">
        <v>262</v>
      </c>
      <c r="C64" s="157"/>
      <c r="D64" s="1126"/>
      <c r="E64" s="1126">
        <f>E31+E48+E49+E50+E54+E63</f>
        <v>504520.59738079493</v>
      </c>
      <c r="F64" s="1126">
        <f>F31+F48+F49+F50+F54+F63</f>
        <v>489704.85069620563</v>
      </c>
      <c r="G64" s="1154"/>
      <c r="H64" s="1151"/>
      <c r="I64" s="1126">
        <f>I31+I48+I49+I50+I54+I63</f>
        <v>430018.85688999994</v>
      </c>
      <c r="J64" s="1126">
        <f>J31+J48+J49+J50+J54+J63</f>
        <v>416861.32076999999</v>
      </c>
      <c r="K64" s="1126">
        <f>K31+K48+K49+K50+K54+K63</f>
        <v>13157.536120000001</v>
      </c>
      <c r="L64" s="1127"/>
      <c r="M64" s="1128">
        <f t="shared" ref="M64:M70" si="12">I64-F64</f>
        <v>-59685.99380620569</v>
      </c>
    </row>
    <row r="65" spans="1:13" ht="12" customHeight="1">
      <c r="A65" s="315"/>
      <c r="B65" s="1251" t="s">
        <v>680</v>
      </c>
      <c r="C65" s="164">
        <v>7701</v>
      </c>
      <c r="D65" s="1143"/>
      <c r="E65" s="1133">
        <f>[1]БДДС!E67</f>
        <v>9520</v>
      </c>
      <c r="F65" s="1133">
        <f>[1]БДДС!F67</f>
        <v>9520</v>
      </c>
      <c r="G65" s="1132"/>
      <c r="H65" s="1148"/>
      <c r="I65" s="1115">
        <f>J65+K65</f>
        <v>5014.4129599999997</v>
      </c>
      <c r="J65" s="1115">
        <v>5014.4129599999997</v>
      </c>
      <c r="K65" s="1115"/>
      <c r="L65" s="1117"/>
      <c r="M65" s="1115">
        <f t="shared" si="12"/>
        <v>-4505.5870400000003</v>
      </c>
    </row>
    <row r="66" spans="1:13" ht="12" customHeight="1">
      <c r="A66" s="303"/>
      <c r="B66" s="1794" t="s">
        <v>600</v>
      </c>
      <c r="C66" s="320"/>
      <c r="D66" s="1143"/>
      <c r="E66" s="1133">
        <f>[1]БДДС!E68</f>
        <v>3605.2181199999995</v>
      </c>
      <c r="F66" s="1133">
        <f>[1]БДДС!F68</f>
        <v>3605.2181199999995</v>
      </c>
      <c r="G66" s="1132"/>
      <c r="H66" s="1151"/>
      <c r="I66" s="1115">
        <f>J66+K66</f>
        <v>3605.2442700000001</v>
      </c>
      <c r="J66" s="1115">
        <v>3605.2442700000001</v>
      </c>
      <c r="K66" s="1115"/>
      <c r="L66" s="1117"/>
      <c r="M66" s="1115">
        <f t="shared" si="12"/>
        <v>2.6150000000598084E-2</v>
      </c>
    </row>
    <row r="67" spans="1:13" ht="12" customHeight="1">
      <c r="A67" s="315"/>
      <c r="B67" s="1794" t="s">
        <v>679</v>
      </c>
      <c r="C67" s="320">
        <v>5002</v>
      </c>
      <c r="D67" s="1143"/>
      <c r="E67" s="1133">
        <f>[1]БДДС!E69</f>
        <v>6000</v>
      </c>
      <c r="F67" s="1133">
        <f>[1]БДДС!F69</f>
        <v>6000</v>
      </c>
      <c r="G67" s="1132"/>
      <c r="H67" s="1155"/>
      <c r="I67" s="1115">
        <f>J67+K67</f>
        <v>3599.6073700000002</v>
      </c>
      <c r="J67" s="1115">
        <v>3599.6073700000002</v>
      </c>
      <c r="K67" s="1115"/>
      <c r="L67" s="1117"/>
      <c r="M67" s="1115">
        <f t="shared" si="12"/>
        <v>-2400.3926299999998</v>
      </c>
    </row>
    <row r="68" spans="1:13" ht="12" customHeight="1" thickBot="1">
      <c r="A68" s="316"/>
      <c r="B68" s="1251" t="str">
        <f>[1]БДДС!B70</f>
        <v>КАПВЛОЖЕНИЯ (автомашины, комбайн, холод)</v>
      </c>
      <c r="C68" s="165">
        <v>7750</v>
      </c>
      <c r="D68" s="1131"/>
      <c r="E68" s="1133">
        <f>[1]БДДС!E70</f>
        <v>11283</v>
      </c>
      <c r="F68" s="1133">
        <f>[1]БДДС!F70</f>
        <v>11283</v>
      </c>
      <c r="G68" s="1132"/>
      <c r="H68" s="1156"/>
      <c r="I68" s="1115">
        <f>J68+K68</f>
        <v>9729.0898400000005</v>
      </c>
      <c r="J68" s="1115">
        <v>9729.0898400000005</v>
      </c>
      <c r="K68" s="1115"/>
      <c r="L68" s="1117"/>
      <c r="M68" s="1115">
        <f t="shared" si="12"/>
        <v>-1553.9101599999995</v>
      </c>
    </row>
    <row r="69" spans="1:13" s="290" customFormat="1" ht="12" customHeight="1" thickBot="1">
      <c r="A69" s="317"/>
      <c r="B69" s="298" t="s">
        <v>263</v>
      </c>
      <c r="C69" s="321"/>
      <c r="D69" s="1157"/>
      <c r="E69" s="1158">
        <f>SUM(E65:E68)</f>
        <v>30408.218119999998</v>
      </c>
      <c r="F69" s="1158">
        <f>SUM(F65:F68)</f>
        <v>30408.218119999998</v>
      </c>
      <c r="G69" s="1158"/>
      <c r="H69" s="1159"/>
      <c r="I69" s="1158">
        <f>I65+I66+I68+I67</f>
        <v>21948.354440000003</v>
      </c>
      <c r="J69" s="1158">
        <f t="shared" ref="J69:K69" si="13">J65+J66+J68+J67</f>
        <v>21948.354440000003</v>
      </c>
      <c r="K69" s="1158">
        <f t="shared" si="13"/>
        <v>0</v>
      </c>
      <c r="L69" s="1160"/>
      <c r="M69" s="1128">
        <f t="shared" si="12"/>
        <v>-8459.8636799999949</v>
      </c>
    </row>
    <row r="70" spans="1:13" ht="12" customHeight="1">
      <c r="A70" s="305"/>
      <c r="B70" s="306" t="s">
        <v>264</v>
      </c>
      <c r="C70" s="155">
        <v>7100</v>
      </c>
      <c r="D70" s="1119"/>
      <c r="E70" s="1141">
        <f>[1]БДДС!E72</f>
        <v>45000</v>
      </c>
      <c r="F70" s="1141">
        <f>[1]БДДС!F72</f>
        <v>45000</v>
      </c>
      <c r="G70" s="1115"/>
      <c r="H70" s="1159"/>
      <c r="I70" s="1115">
        <f>J70+K70</f>
        <v>45000</v>
      </c>
      <c r="J70" s="1123">
        <v>45000</v>
      </c>
      <c r="K70" s="1123"/>
      <c r="L70" s="1122"/>
      <c r="M70" s="1115">
        <f t="shared" si="12"/>
        <v>0</v>
      </c>
    </row>
    <row r="71" spans="1:13" ht="12" customHeight="1">
      <c r="A71" s="305"/>
      <c r="B71" s="306" t="s">
        <v>305</v>
      </c>
      <c r="C71" s="156">
        <v>7200</v>
      </c>
      <c r="D71" s="1121"/>
      <c r="E71" s="1141">
        <f>[1]БДДС!E73</f>
        <v>954</v>
      </c>
      <c r="F71" s="1141">
        <f>[1]БДДС!F73</f>
        <v>954</v>
      </c>
      <c r="G71" s="1115"/>
      <c r="H71" s="1159"/>
      <c r="I71" s="1115">
        <f t="shared" ref="I71:I77" si="14">J71+K71</f>
        <v>1794.75</v>
      </c>
      <c r="J71" s="1115">
        <v>1242</v>
      </c>
      <c r="K71" s="1115">
        <v>552.75</v>
      </c>
      <c r="L71" s="1117"/>
      <c r="M71" s="1115">
        <f t="shared" ref="M71:M89" si="15">I71-F71</f>
        <v>840.75</v>
      </c>
    </row>
    <row r="72" spans="1:13" ht="12" customHeight="1" thickBot="1">
      <c r="A72" s="305"/>
      <c r="B72" s="306" t="s">
        <v>265</v>
      </c>
      <c r="C72" s="174">
        <v>5800</v>
      </c>
      <c r="D72" s="1121"/>
      <c r="E72" s="1141">
        <f>[1]БДДС!E74</f>
        <v>66692</v>
      </c>
      <c r="F72" s="1141">
        <f>[1]БДДС!F74</f>
        <v>66692</v>
      </c>
      <c r="G72" s="1115"/>
      <c r="H72" s="1161"/>
      <c r="I72" s="1115">
        <f t="shared" si="14"/>
        <v>66692</v>
      </c>
      <c r="J72" s="1115">
        <v>66692</v>
      </c>
      <c r="K72" s="1115"/>
      <c r="L72" s="1117"/>
      <c r="M72" s="1115">
        <f t="shared" si="15"/>
        <v>0</v>
      </c>
    </row>
    <row r="73" spans="1:13" ht="12" customHeight="1">
      <c r="A73" s="305"/>
      <c r="B73" s="306" t="s">
        <v>266</v>
      </c>
      <c r="C73" s="156">
        <v>7300</v>
      </c>
      <c r="D73" s="1121"/>
      <c r="E73" s="1141">
        <f>[1]БДДС!E75</f>
        <v>6598.8109589041087</v>
      </c>
      <c r="F73" s="1141">
        <f>[1]БДДС!F75</f>
        <v>6598.8109589041087</v>
      </c>
      <c r="G73" s="1115"/>
      <c r="H73" s="1122"/>
      <c r="I73" s="1115">
        <f t="shared" si="14"/>
        <v>6186.0398400000004</v>
      </c>
      <c r="J73" s="1123">
        <v>6186.0398400000004</v>
      </c>
      <c r="K73" s="1123"/>
      <c r="L73" s="1122"/>
      <c r="M73" s="1115">
        <f t="shared" si="15"/>
        <v>-412.77111890410833</v>
      </c>
    </row>
    <row r="74" spans="1:13" ht="12" customHeight="1">
      <c r="A74" s="305"/>
      <c r="B74" s="306" t="s">
        <v>267</v>
      </c>
      <c r="C74" s="156">
        <v>7600</v>
      </c>
      <c r="D74" s="1121"/>
      <c r="E74" s="1141">
        <f>[1]БДДС!E76</f>
        <v>11572.536073972604</v>
      </c>
      <c r="F74" s="1141">
        <f>[1]БДДС!F76</f>
        <v>11572.536073972604</v>
      </c>
      <c r="G74" s="1115"/>
      <c r="H74" s="1117"/>
      <c r="I74" s="1115">
        <f t="shared" si="14"/>
        <v>11379.156870000001</v>
      </c>
      <c r="J74" s="1123">
        <v>11379.156870000001</v>
      </c>
      <c r="K74" s="1123"/>
      <c r="L74" s="1122"/>
      <c r="M74" s="1115">
        <f t="shared" si="15"/>
        <v>-193.37920397260314</v>
      </c>
    </row>
    <row r="75" spans="1:13" ht="12" customHeight="1">
      <c r="A75" s="305"/>
      <c r="B75" s="306" t="s">
        <v>268</v>
      </c>
      <c r="C75" s="156">
        <v>7500</v>
      </c>
      <c r="D75" s="1121">
        <v>1094.21</v>
      </c>
      <c r="E75" s="1141">
        <f>[1]БДДС!E77</f>
        <v>11520.288</v>
      </c>
      <c r="F75" s="1141">
        <f>[1]БДДС!F77</f>
        <v>11520.288</v>
      </c>
      <c r="G75" s="1115">
        <v>1094.21</v>
      </c>
      <c r="H75" s="1117"/>
      <c r="I75" s="1115">
        <f t="shared" si="14"/>
        <v>12164.66287</v>
      </c>
      <c r="J75" s="1123">
        <v>12164.66287</v>
      </c>
      <c r="K75" s="1123"/>
      <c r="L75" s="1122"/>
      <c r="M75" s="1115">
        <f t="shared" si="15"/>
        <v>644.37486999999965</v>
      </c>
    </row>
    <row r="76" spans="1:13" ht="12" customHeight="1">
      <c r="A76" s="305"/>
      <c r="B76" s="306" t="s">
        <v>569</v>
      </c>
      <c r="C76" s="156">
        <v>7501</v>
      </c>
      <c r="D76" s="1121"/>
      <c r="E76" s="1141">
        <f>[1]БДДС!E78</f>
        <v>0</v>
      </c>
      <c r="F76" s="1141">
        <f>[1]БДДС!F78</f>
        <v>0</v>
      </c>
      <c r="G76" s="1115"/>
      <c r="H76" s="1117"/>
      <c r="I76" s="1115">
        <f t="shared" si="14"/>
        <v>405.17272000000003</v>
      </c>
      <c r="J76" s="1130">
        <v>405.17272000000003</v>
      </c>
      <c r="K76" s="1130"/>
      <c r="L76" s="1129"/>
      <c r="M76" s="1115">
        <f t="shared" si="15"/>
        <v>405.17272000000003</v>
      </c>
    </row>
    <row r="77" spans="1:13" ht="12" customHeight="1">
      <c r="A77" s="305"/>
      <c r="B77" s="306" t="s">
        <v>269</v>
      </c>
      <c r="C77" s="156">
        <v>7700</v>
      </c>
      <c r="D77" s="1121"/>
      <c r="E77" s="1141">
        <f>[1]БДДС!E79</f>
        <v>0</v>
      </c>
      <c r="F77" s="1141">
        <f>[1]БДДС!F79</f>
        <v>0</v>
      </c>
      <c r="G77" s="1115"/>
      <c r="H77" s="1122"/>
      <c r="I77" s="1115">
        <f t="shared" si="14"/>
        <v>0</v>
      </c>
      <c r="J77" s="1115"/>
      <c r="K77" s="1115"/>
      <c r="L77" s="1117"/>
      <c r="M77" s="1115">
        <f t="shared" si="15"/>
        <v>0</v>
      </c>
    </row>
    <row r="78" spans="1:13" ht="12" customHeight="1">
      <c r="A78" s="305"/>
      <c r="B78" s="306" t="s">
        <v>219</v>
      </c>
      <c r="C78" s="156">
        <v>7800</v>
      </c>
      <c r="D78" s="1121"/>
      <c r="E78" s="1120">
        <f>SUM(E79:E85)</f>
        <v>258.5</v>
      </c>
      <c r="F78" s="1115">
        <f>E78</f>
        <v>258.5</v>
      </c>
      <c r="G78" s="1115"/>
      <c r="H78" s="1122"/>
      <c r="I78" s="1115">
        <f>SUM(I79:I85)</f>
        <v>86.356999999999999</v>
      </c>
      <c r="J78" s="1115">
        <f>SUM(J79:J85)</f>
        <v>78.356999999999999</v>
      </c>
      <c r="K78" s="1115">
        <f>SUM(K79:K85)</f>
        <v>8</v>
      </c>
      <c r="L78" s="1115">
        <f>SUM(L79:L85)</f>
        <v>0</v>
      </c>
      <c r="M78" s="1115">
        <f t="shared" si="15"/>
        <v>-172.143</v>
      </c>
    </row>
    <row r="79" spans="1:13" ht="12" customHeight="1">
      <c r="A79" s="303"/>
      <c r="B79" s="307" t="s">
        <v>220</v>
      </c>
      <c r="C79" s="158">
        <v>7801</v>
      </c>
      <c r="D79" s="1131"/>
      <c r="E79" s="1123">
        <f>БДР!C52</f>
        <v>78.5</v>
      </c>
      <c r="F79" s="1133">
        <f>[1]БДДС!F81</f>
        <v>54.5</v>
      </c>
      <c r="G79" s="1132"/>
      <c r="H79" s="1122"/>
      <c r="I79" s="1115">
        <f>J79+K79</f>
        <v>8</v>
      </c>
      <c r="J79" s="1123"/>
      <c r="K79" s="1123">
        <v>8</v>
      </c>
      <c r="L79" s="1122"/>
      <c r="M79" s="1115">
        <f t="shared" si="15"/>
        <v>-46.5</v>
      </c>
    </row>
    <row r="80" spans="1:13" ht="12" customHeight="1">
      <c r="A80" s="303"/>
      <c r="B80" s="307" t="s">
        <v>221</v>
      </c>
      <c r="C80" s="158">
        <v>7802</v>
      </c>
      <c r="D80" s="1131"/>
      <c r="E80" s="1123">
        <f>БДР!C53</f>
        <v>0</v>
      </c>
      <c r="F80" s="1133">
        <f>[1]БДДС!F82</f>
        <v>0</v>
      </c>
      <c r="G80" s="1132"/>
      <c r="H80" s="1129"/>
      <c r="I80" s="1115">
        <f t="shared" ref="I80:I89" si="16">J80+K80</f>
        <v>12</v>
      </c>
      <c r="J80" s="1123">
        <v>12</v>
      </c>
      <c r="K80" s="1123"/>
      <c r="L80" s="1122"/>
      <c r="M80" s="1115">
        <f t="shared" si="15"/>
        <v>12</v>
      </c>
    </row>
    <row r="81" spans="1:13" ht="12" customHeight="1">
      <c r="A81" s="303"/>
      <c r="B81" s="307" t="s">
        <v>270</v>
      </c>
      <c r="C81" s="158">
        <v>7803</v>
      </c>
      <c r="D81" s="1131"/>
      <c r="E81" s="1123">
        <f>БДР!C54</f>
        <v>0</v>
      </c>
      <c r="F81" s="1133">
        <f>[1]БДДС!F83</f>
        <v>0</v>
      </c>
      <c r="G81" s="1132"/>
      <c r="H81" s="1117"/>
      <c r="I81" s="1115">
        <f t="shared" si="16"/>
        <v>62.4</v>
      </c>
      <c r="J81" s="1123">
        <v>62.4</v>
      </c>
      <c r="K81" s="1123"/>
      <c r="L81" s="1122"/>
      <c r="M81" s="1115">
        <f t="shared" si="15"/>
        <v>62.4</v>
      </c>
    </row>
    <row r="82" spans="1:13" ht="12" customHeight="1">
      <c r="A82" s="303"/>
      <c r="B82" s="307" t="s">
        <v>223</v>
      </c>
      <c r="C82" s="158">
        <v>7804</v>
      </c>
      <c r="D82" s="1131"/>
      <c r="E82" s="1123">
        <f>БДР!C55</f>
        <v>0</v>
      </c>
      <c r="F82" s="1133">
        <f>[1]БДДС!F84</f>
        <v>0</v>
      </c>
      <c r="G82" s="1132"/>
      <c r="H82" s="1122"/>
      <c r="I82" s="1115">
        <f t="shared" si="16"/>
        <v>0</v>
      </c>
      <c r="J82" s="1123"/>
      <c r="K82" s="1123"/>
      <c r="L82" s="1122"/>
      <c r="M82" s="1115">
        <f t="shared" si="15"/>
        <v>0</v>
      </c>
    </row>
    <row r="83" spans="1:13" ht="12" customHeight="1">
      <c r="A83" s="303"/>
      <c r="B83" s="307" t="s">
        <v>224</v>
      </c>
      <c r="C83" s="158">
        <v>7805</v>
      </c>
      <c r="D83" s="1131"/>
      <c r="E83" s="1123">
        <f>БДР!C56</f>
        <v>0</v>
      </c>
      <c r="F83" s="1133">
        <f>[1]БДДС!F85</f>
        <v>0</v>
      </c>
      <c r="G83" s="1132"/>
      <c r="H83" s="1122"/>
      <c r="I83" s="1115">
        <f t="shared" si="16"/>
        <v>0</v>
      </c>
      <c r="J83" s="1123"/>
      <c r="K83" s="1123"/>
      <c r="L83" s="1122"/>
      <c r="M83" s="1115">
        <f t="shared" si="15"/>
        <v>0</v>
      </c>
    </row>
    <row r="84" spans="1:13" ht="12" customHeight="1">
      <c r="A84" s="303"/>
      <c r="B84" s="307" t="s">
        <v>225</v>
      </c>
      <c r="C84" s="158">
        <v>7806</v>
      </c>
      <c r="D84" s="1131"/>
      <c r="E84" s="1123">
        <f>БДР!C57</f>
        <v>0</v>
      </c>
      <c r="F84" s="1133">
        <f>[1]БДДС!F86</f>
        <v>0</v>
      </c>
      <c r="G84" s="1132"/>
      <c r="H84" s="1122"/>
      <c r="I84" s="1115">
        <f t="shared" si="16"/>
        <v>0</v>
      </c>
      <c r="J84" s="1123"/>
      <c r="K84" s="1123"/>
      <c r="L84" s="1122"/>
      <c r="M84" s="1115">
        <f t="shared" si="15"/>
        <v>0</v>
      </c>
    </row>
    <row r="85" spans="1:13" ht="12" customHeight="1">
      <c r="A85" s="303"/>
      <c r="B85" s="307" t="s">
        <v>226</v>
      </c>
      <c r="C85" s="158">
        <v>7807</v>
      </c>
      <c r="D85" s="1131"/>
      <c r="E85" s="1123">
        <f>БДР!C58</f>
        <v>180</v>
      </c>
      <c r="F85" s="1133">
        <f>[1]БДДС!F87</f>
        <v>90</v>
      </c>
      <c r="G85" s="1132"/>
      <c r="H85" s="1122"/>
      <c r="I85" s="1115">
        <f t="shared" si="16"/>
        <v>3.9569999999999999</v>
      </c>
      <c r="J85" s="1123">
        <v>3.9569999999999999</v>
      </c>
      <c r="K85" s="1123"/>
      <c r="L85" s="1122"/>
      <c r="M85" s="1115">
        <f t="shared" si="15"/>
        <v>-86.043000000000006</v>
      </c>
    </row>
    <row r="86" spans="1:13" ht="12" customHeight="1">
      <c r="A86" s="305"/>
      <c r="B86" s="306" t="s">
        <v>271</v>
      </c>
      <c r="C86" s="156">
        <v>7900</v>
      </c>
      <c r="D86" s="1121"/>
      <c r="E86" s="1120">
        <f>БДР!C44</f>
        <v>0</v>
      </c>
      <c r="F86" s="1133">
        <f>[1]БДДС!F88</f>
        <v>0</v>
      </c>
      <c r="G86" s="1120"/>
      <c r="H86" s="1122"/>
      <c r="I86" s="1115">
        <f t="shared" si="16"/>
        <v>299.56860999999998</v>
      </c>
      <c r="J86" s="1123">
        <v>299.56860999999998</v>
      </c>
      <c r="K86" s="1123"/>
      <c r="L86" s="1122"/>
      <c r="M86" s="1115">
        <f t="shared" si="15"/>
        <v>299.56860999999998</v>
      </c>
    </row>
    <row r="87" spans="1:13" ht="12" customHeight="1">
      <c r="A87" s="305"/>
      <c r="B87" s="306" t="s">
        <v>640</v>
      </c>
      <c r="C87" s="156"/>
      <c r="D87" s="1121"/>
      <c r="E87" s="1133">
        <f>[1]БДДС!E89</f>
        <v>1.3888897763888888E-12</v>
      </c>
      <c r="F87" s="1133">
        <f>[1]БДДС!F89</f>
        <v>1.3888897763888888E-12</v>
      </c>
      <c r="G87" s="1120"/>
      <c r="H87" s="1122"/>
      <c r="I87" s="1115">
        <f t="shared" si="16"/>
        <v>0</v>
      </c>
      <c r="J87" s="1123"/>
      <c r="K87" s="1123"/>
      <c r="L87" s="1122"/>
      <c r="M87" s="1115">
        <f t="shared" si="15"/>
        <v>-1.3888897763888888E-12</v>
      </c>
    </row>
    <row r="88" spans="1:13" s="308" customFormat="1" ht="12" customHeight="1">
      <c r="A88" s="303"/>
      <c r="B88" s="307" t="s">
        <v>272</v>
      </c>
      <c r="C88" s="158">
        <v>8100</v>
      </c>
      <c r="D88" s="1131"/>
      <c r="E88" s="1133">
        <f>[1]БДДС!E90</f>
        <v>0</v>
      </c>
      <c r="F88" s="1133">
        <f>[1]БДДС!F90</f>
        <v>0</v>
      </c>
      <c r="G88" s="1123"/>
      <c r="H88" s="1122"/>
      <c r="I88" s="1115">
        <f t="shared" si="16"/>
        <v>0</v>
      </c>
      <c r="J88" s="1123"/>
      <c r="K88" s="1123"/>
      <c r="L88" s="1122"/>
      <c r="M88" s="1115">
        <f t="shared" si="15"/>
        <v>0</v>
      </c>
    </row>
    <row r="89" spans="1:13" ht="12" customHeight="1" thickBot="1">
      <c r="A89" s="305"/>
      <c r="B89" s="306" t="s">
        <v>414</v>
      </c>
      <c r="C89" s="156">
        <v>7400</v>
      </c>
      <c r="D89" s="1121"/>
      <c r="E89" s="1120">
        <f>БДР!C46+БДР!C49+БДР!C68+БДР!C69+БДР!C47</f>
        <v>21225</v>
      </c>
      <c r="F89" s="1141">
        <f>[1]БДДС!F91</f>
        <v>6480</v>
      </c>
      <c r="G89" s="1120"/>
      <c r="H89" s="1122"/>
      <c r="I89" s="1115">
        <f t="shared" si="16"/>
        <v>4066.2545100000002</v>
      </c>
      <c r="J89" s="1120">
        <v>4066.2545100000002</v>
      </c>
      <c r="K89" s="1123"/>
      <c r="L89" s="1122"/>
      <c r="M89" s="1115">
        <f t="shared" si="15"/>
        <v>-2413.7454899999998</v>
      </c>
    </row>
    <row r="90" spans="1:13" s="300" customFormat="1" ht="12" customHeight="1" thickBot="1">
      <c r="A90" s="297"/>
      <c r="B90" s="298" t="s">
        <v>273</v>
      </c>
      <c r="C90" s="157"/>
      <c r="D90" s="1126"/>
      <c r="E90" s="1126">
        <f>E70+E71+E72+E73+E74+E75+E76+E77+E78+E86+E87+E88+E89</f>
        <v>163821.13503287671</v>
      </c>
      <c r="F90" s="1126">
        <f>F70+F71+F72+F73+F74+F75+F76+F77+F78+F86+F87+F88+F89</f>
        <v>149076.13503287671</v>
      </c>
      <c r="G90" s="1126"/>
      <c r="H90" s="1122"/>
      <c r="I90" s="1126">
        <f>SUM(I70:I78,I86:I89)</f>
        <v>148073.96241999997</v>
      </c>
      <c r="J90" s="1126">
        <f>SUM(J70:J78,J86:J89)</f>
        <v>147513.21241999997</v>
      </c>
      <c r="K90" s="1126">
        <f>SUM(K70:K78,K86:K89)</f>
        <v>560.75</v>
      </c>
      <c r="L90" s="1127"/>
      <c r="M90" s="1134">
        <f>I90-F90</f>
        <v>-1002.1726128767477</v>
      </c>
    </row>
    <row r="91" spans="1:13" s="300" customFormat="1" ht="12" customHeight="1" thickBot="1">
      <c r="A91" s="297"/>
      <c r="B91" s="298" t="s">
        <v>274</v>
      </c>
      <c r="C91" s="157"/>
      <c r="D91" s="1126"/>
      <c r="E91" s="1126">
        <f>E64+E69+E90</f>
        <v>698749.95053367165</v>
      </c>
      <c r="F91" s="1126">
        <f>F64+F69+F90</f>
        <v>669189.20384908235</v>
      </c>
      <c r="G91" s="1126"/>
      <c r="H91" s="1122"/>
      <c r="I91" s="1126">
        <f>I64+I69+I90</f>
        <v>600041.17374999996</v>
      </c>
      <c r="J91" s="1126">
        <f>J64+J69+J90</f>
        <v>586322.88763000001</v>
      </c>
      <c r="K91" s="1126">
        <f>K64+K69+K90</f>
        <v>13718.286120000001</v>
      </c>
      <c r="L91" s="1127"/>
      <c r="M91" s="1162">
        <f>I91-F91</f>
        <v>-69148.030099082389</v>
      </c>
    </row>
    <row r="92" spans="1:13" s="300" customFormat="1" ht="3.75" customHeight="1" thickBot="1">
      <c r="A92" s="318"/>
      <c r="B92" s="319"/>
      <c r="C92" s="166"/>
      <c r="D92" s="1163"/>
      <c r="E92" s="1163"/>
      <c r="F92" s="1163"/>
      <c r="G92" s="1163"/>
      <c r="H92" s="1122"/>
      <c r="I92" s="1163"/>
      <c r="J92" s="1163"/>
      <c r="K92" s="1163"/>
      <c r="L92" s="1127"/>
      <c r="M92" s="1137">
        <f>I92-F96</f>
        <v>0</v>
      </c>
    </row>
    <row r="93" spans="1:13" s="300" customFormat="1" ht="12" customHeight="1" thickBot="1">
      <c r="A93" s="297"/>
      <c r="B93" s="298" t="s">
        <v>275</v>
      </c>
      <c r="C93" s="157"/>
      <c r="D93" s="1126"/>
      <c r="E93" s="1126">
        <f>E29-E91</f>
        <v>156259.09575835674</v>
      </c>
      <c r="F93" s="1126">
        <f>F29-F91</f>
        <v>185819.84244294604</v>
      </c>
      <c r="G93" s="1126"/>
      <c r="H93" s="1122"/>
      <c r="I93" s="1126">
        <f>I29-I91</f>
        <v>12784.481970000081</v>
      </c>
      <c r="J93" s="1126"/>
      <c r="K93" s="1126"/>
      <c r="L93" s="1127"/>
      <c r="M93" s="1162">
        <f>I93-F93</f>
        <v>-173035.36047294596</v>
      </c>
    </row>
    <row r="94" spans="1:13" s="300" customFormat="1" ht="12" customHeight="1" thickBot="1">
      <c r="A94" s="297"/>
      <c r="B94" s="298" t="s">
        <v>276</v>
      </c>
      <c r="C94" s="157"/>
      <c r="D94" s="1164"/>
      <c r="E94" s="1126">
        <f>E3+E29-E91</f>
        <v>159643.09575835674</v>
      </c>
      <c r="F94" s="1126">
        <f>F3+F29-F91</f>
        <v>189203.84244294604</v>
      </c>
      <c r="G94" s="1126"/>
      <c r="H94" s="1127"/>
      <c r="I94" s="1126">
        <f>I3+I29-I91</f>
        <v>16168.783450000104</v>
      </c>
      <c r="J94" s="1126"/>
      <c r="K94" s="1126"/>
      <c r="L94" s="1127"/>
      <c r="M94" s="1162">
        <f>I94-F94</f>
        <v>-173035.05899294594</v>
      </c>
    </row>
    <row r="95" spans="1:13" ht="12" customHeight="1" thickBot="1">
      <c r="H95" s="1127"/>
    </row>
    <row r="96" spans="1:13" ht="12" customHeight="1">
      <c r="B96" s="718"/>
    </row>
  </sheetData>
  <mergeCells count="1">
    <mergeCell ref="D2:F2"/>
  </mergeCells>
  <phoneticPr fontId="18" type="noConversion"/>
  <pageMargins left="0.23622047244094491" right="0.23622047244094491" top="0.43307086614173229" bottom="0.19685039370078741" header="0.23622047244094491" footer="0.19685039370078741"/>
  <pageSetup paperSize="9" scale="95" orientation="landscape" r:id="rId1"/>
  <headerFooter alignWithMargins="0">
    <oddHeader>&amp;C&amp;F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9">
    <tabColor rgb="FF00B0F0"/>
  </sheetPr>
  <dimension ref="A1:F71"/>
  <sheetViews>
    <sheetView workbookViewId="0">
      <selection activeCell="G45" sqref="G45"/>
    </sheetView>
  </sheetViews>
  <sheetFormatPr defaultRowHeight="9.75" customHeight="1" outlineLevelRow="1" outlineLevelCol="1"/>
  <cols>
    <col min="1" max="1" width="3.85546875" style="153" customWidth="1"/>
    <col min="2" max="2" width="45" style="134" customWidth="1"/>
    <col min="3" max="3" width="11.42578125" style="875" customWidth="1"/>
    <col min="4" max="5" width="11.42578125" style="875" customWidth="1" outlineLevel="1"/>
    <col min="6" max="6" width="10.7109375" style="134" customWidth="1"/>
    <col min="7" max="16384" width="9.140625" style="134"/>
  </cols>
  <sheetData>
    <row r="1" spans="1:6" ht="9.75" customHeight="1" thickBot="1">
      <c r="A1" s="133" t="s">
        <v>670</v>
      </c>
    </row>
    <row r="2" spans="1:6" ht="9.75" customHeight="1" thickBot="1">
      <c r="A2" s="135"/>
      <c r="B2" s="135" t="s">
        <v>196</v>
      </c>
      <c r="C2" s="1165" t="s">
        <v>42</v>
      </c>
      <c r="D2" s="1165" t="s">
        <v>43</v>
      </c>
      <c r="E2" s="1165" t="s">
        <v>197</v>
      </c>
    </row>
    <row r="3" spans="1:6" ht="9.75" customHeight="1" outlineLevel="1">
      <c r="A3" s="136"/>
      <c r="B3" s="709" t="s">
        <v>529</v>
      </c>
      <c r="C3" s="1166">
        <f>реал!E68</f>
        <v>329566.11524999992</v>
      </c>
      <c r="D3" s="1166">
        <f>реал!G68</f>
        <v>312637.33398000005</v>
      </c>
      <c r="E3" s="1167">
        <f t="shared" ref="E3:E51" si="0">D3-C3</f>
        <v>-16928.781269999861</v>
      </c>
    </row>
    <row r="4" spans="1:6" ht="9.75" customHeight="1" outlineLevel="1">
      <c r="A4" s="137"/>
      <c r="B4" s="709" t="s">
        <v>198</v>
      </c>
      <c r="C4" s="1166">
        <f>реал!E5</f>
        <v>326780.82151954615</v>
      </c>
      <c r="D4" s="1166">
        <f>реал!G5</f>
        <v>304544.82476999995</v>
      </c>
      <c r="E4" s="1166">
        <f t="shared" si="0"/>
        <v>-22235.996749546204</v>
      </c>
    </row>
    <row r="5" spans="1:6" s="729" customFormat="1" ht="9.75" customHeight="1">
      <c r="A5" s="726"/>
      <c r="B5" s="727" t="s">
        <v>530</v>
      </c>
      <c r="C5" s="1168">
        <f>C3-C4</f>
        <v>2785.2937304537627</v>
      </c>
      <c r="D5" s="1168">
        <f>D3-D4</f>
        <v>8092.5092100001057</v>
      </c>
      <c r="E5" s="1168">
        <f t="shared" si="0"/>
        <v>5307.215479546343</v>
      </c>
      <c r="F5" s="728"/>
    </row>
    <row r="6" spans="1:6" ht="9.75" customHeight="1" outlineLevel="1">
      <c r="A6" s="137"/>
      <c r="B6" s="709" t="s">
        <v>525</v>
      </c>
      <c r="C6" s="1166">
        <f>реал!E96</f>
        <v>254287.45881053427</v>
      </c>
      <c r="D6" s="1166">
        <f>реал!G96</f>
        <v>256164.81580000001</v>
      </c>
      <c r="E6" s="1166">
        <f t="shared" si="0"/>
        <v>1877.3569894657412</v>
      </c>
      <c r="F6" s="167"/>
    </row>
    <row r="7" spans="1:6" ht="9.75" customHeight="1" outlineLevel="1">
      <c r="A7" s="137"/>
      <c r="B7" s="709" t="s">
        <v>198</v>
      </c>
      <c r="C7" s="1166">
        <f>реал!E33</f>
        <v>233579.33293317456</v>
      </c>
      <c r="D7" s="1166">
        <f>реал!G33</f>
        <v>224643.50271999999</v>
      </c>
      <c r="E7" s="1166">
        <f t="shared" si="0"/>
        <v>-8935.8302131745731</v>
      </c>
    </row>
    <row r="8" spans="1:6" s="729" customFormat="1" ht="9.75" customHeight="1">
      <c r="A8" s="726"/>
      <c r="B8" s="727" t="s">
        <v>526</v>
      </c>
      <c r="C8" s="1168">
        <f>C6-C7</f>
        <v>20708.125877359707</v>
      </c>
      <c r="D8" s="1168">
        <f>D6-D7</f>
        <v>31521.313080000022</v>
      </c>
      <c r="E8" s="1168">
        <f t="shared" si="0"/>
        <v>10813.187202640314</v>
      </c>
    </row>
    <row r="9" spans="1:6" ht="9.75" customHeight="1" outlineLevel="1">
      <c r="A9" s="137"/>
      <c r="B9" s="709" t="s">
        <v>527</v>
      </c>
      <c r="C9" s="1166">
        <f>реал!E98</f>
        <v>37166.207147437504</v>
      </c>
      <c r="D9" s="1166">
        <f>реал!G98</f>
        <v>31676.203109999999</v>
      </c>
      <c r="E9" s="1166">
        <f>D9-C9</f>
        <v>-5490.0040374375058</v>
      </c>
    </row>
    <row r="10" spans="1:6" ht="9.75" customHeight="1" outlineLevel="1">
      <c r="A10" s="137"/>
      <c r="B10" s="709" t="s">
        <v>198</v>
      </c>
      <c r="C10" s="1166">
        <f>реал!E35</f>
        <v>45548.234661117436</v>
      </c>
      <c r="D10" s="1166">
        <f>реал!G35</f>
        <v>40285.467470000003</v>
      </c>
      <c r="E10" s="1166">
        <f>D10-C10</f>
        <v>-5262.767191117433</v>
      </c>
    </row>
    <row r="11" spans="1:6" s="729" customFormat="1" ht="9.75" customHeight="1">
      <c r="A11" s="726"/>
      <c r="B11" s="727" t="s">
        <v>528</v>
      </c>
      <c r="C11" s="1168">
        <f>C9-C10</f>
        <v>-8382.0275136799319</v>
      </c>
      <c r="D11" s="1168">
        <f>D9-D10</f>
        <v>-8609.2643600000047</v>
      </c>
      <c r="E11" s="1168">
        <f>D11-C11</f>
        <v>-227.2368463200728</v>
      </c>
    </row>
    <row r="12" spans="1:6" ht="9.75" customHeight="1" outlineLevel="1">
      <c r="A12" s="137"/>
      <c r="B12" s="709" t="s">
        <v>200</v>
      </c>
      <c r="C12" s="1166">
        <f>реал!E114+реал!E116</f>
        <v>91292.292000000001</v>
      </c>
      <c r="D12" s="1166">
        <f>реал!G116</f>
        <v>108093.561</v>
      </c>
      <c r="E12" s="1166">
        <f t="shared" si="0"/>
        <v>16801.269</v>
      </c>
    </row>
    <row r="13" spans="1:6" ht="9.75" customHeight="1" outlineLevel="1">
      <c r="A13" s="137"/>
      <c r="B13" s="709" t="s">
        <v>198</v>
      </c>
      <c r="C13" s="1166">
        <f>реал!E51+реал!E53</f>
        <v>84891.546722517494</v>
      </c>
      <c r="D13" s="1166">
        <f>реал!G53</f>
        <v>94447.274829999995</v>
      </c>
      <c r="E13" s="1166">
        <f t="shared" si="0"/>
        <v>9555.7281074825005</v>
      </c>
    </row>
    <row r="14" spans="1:6" s="729" customFormat="1" ht="9.75" customHeight="1">
      <c r="A14" s="726"/>
      <c r="B14" s="727" t="s">
        <v>201</v>
      </c>
      <c r="C14" s="1168">
        <f>C12-C13</f>
        <v>6400.7452774825069</v>
      </c>
      <c r="D14" s="1168">
        <f>D12-D13</f>
        <v>13646.286170000007</v>
      </c>
      <c r="E14" s="1168">
        <f t="shared" si="0"/>
        <v>7245.5408925174997</v>
      </c>
    </row>
    <row r="15" spans="1:6" ht="9.75" customHeight="1" outlineLevel="1">
      <c r="A15" s="137"/>
      <c r="B15" s="709" t="s">
        <v>598</v>
      </c>
      <c r="C15" s="1166">
        <f>реал!E110</f>
        <v>16925.994999999999</v>
      </c>
      <c r="D15" s="1166">
        <f>реал!G110</f>
        <v>15460.095009999999</v>
      </c>
      <c r="E15" s="1166">
        <f t="shared" ref="E15:E17" si="1">D15-C15</f>
        <v>-1465.8999899999999</v>
      </c>
    </row>
    <row r="16" spans="1:6" ht="9.75" customHeight="1" outlineLevel="1">
      <c r="A16" s="137"/>
      <c r="B16" s="709" t="s">
        <v>198</v>
      </c>
      <c r="C16" s="1166">
        <f>реал!E47</f>
        <v>17046.242216085884</v>
      </c>
      <c r="D16" s="1166">
        <f>реал!G47</f>
        <v>13905.216209956385</v>
      </c>
      <c r="E16" s="1166">
        <f t="shared" si="1"/>
        <v>-3141.0260061294994</v>
      </c>
    </row>
    <row r="17" spans="1:5" s="729" customFormat="1" ht="9.75" customHeight="1">
      <c r="A17" s="726"/>
      <c r="B17" s="727" t="s">
        <v>597</v>
      </c>
      <c r="C17" s="1168">
        <f>C15-C16</f>
        <v>-120.24721608588516</v>
      </c>
      <c r="D17" s="1168">
        <f>D15-D16</f>
        <v>1554.8788000436143</v>
      </c>
      <c r="E17" s="1168">
        <f t="shared" si="1"/>
        <v>1675.1260161294995</v>
      </c>
    </row>
    <row r="18" spans="1:5" ht="9.75" customHeight="1" outlineLevel="1">
      <c r="A18" s="137"/>
      <c r="B18" s="709" t="s">
        <v>676</v>
      </c>
      <c r="C18" s="1166">
        <f>реал!E114</f>
        <v>0</v>
      </c>
      <c r="D18" s="1166">
        <f>реал!G114</f>
        <v>5868.5169999999998</v>
      </c>
      <c r="E18" s="1166">
        <f t="shared" ref="E18:E20" si="2">D18-C18</f>
        <v>5868.5169999999998</v>
      </c>
    </row>
    <row r="19" spans="1:5" ht="9.75" customHeight="1" outlineLevel="1">
      <c r="A19" s="137"/>
      <c r="B19" s="709" t="s">
        <v>198</v>
      </c>
      <c r="C19" s="1166">
        <f>реал!E51</f>
        <v>0</v>
      </c>
      <c r="D19" s="1166">
        <f>реал!G51</f>
        <v>4572.3787199999997</v>
      </c>
      <c r="E19" s="1166">
        <f t="shared" si="2"/>
        <v>4572.3787199999997</v>
      </c>
    </row>
    <row r="20" spans="1:5" s="729" customFormat="1" ht="9.75" customHeight="1">
      <c r="A20" s="726"/>
      <c r="B20" s="727" t="s">
        <v>677</v>
      </c>
      <c r="C20" s="1168">
        <f>C18-C19</f>
        <v>0</v>
      </c>
      <c r="D20" s="1168">
        <f>D18-D19</f>
        <v>1296.1382800000001</v>
      </c>
      <c r="E20" s="1168">
        <f t="shared" si="2"/>
        <v>1296.1382800000001</v>
      </c>
    </row>
    <row r="21" spans="1:5" ht="9.75" customHeight="1" outlineLevel="1">
      <c r="A21" s="137"/>
      <c r="B21" s="709" t="s">
        <v>531</v>
      </c>
      <c r="C21" s="1166">
        <f>C24-C3-C6-C9-C12-C15</f>
        <v>27688.170878577232</v>
      </c>
      <c r="D21" s="1166">
        <f>D24-D3-D6-D9-D12-D15-D18</f>
        <v>39050.902610000048</v>
      </c>
      <c r="E21" s="1166">
        <f t="shared" si="0"/>
        <v>11362.731731422817</v>
      </c>
    </row>
    <row r="22" spans="1:5" ht="9.75" customHeight="1" outlineLevel="1">
      <c r="A22" s="137"/>
      <c r="B22" s="709" t="s">
        <v>532</v>
      </c>
      <c r="C22" s="1166">
        <f>C25-C4-C10-C13-C7-C16</f>
        <v>27688.170878577177</v>
      </c>
      <c r="D22" s="1166">
        <f>D25-D4-D10-D13-D7-D16-D19</f>
        <v>39492.243209999964</v>
      </c>
      <c r="E22" s="1166">
        <f t="shared" si="0"/>
        <v>11804.072331422787</v>
      </c>
    </row>
    <row r="23" spans="1:5" s="729" customFormat="1" ht="9.75" customHeight="1">
      <c r="A23" s="726"/>
      <c r="B23" s="727" t="s">
        <v>142</v>
      </c>
      <c r="C23" s="1168">
        <f>C21-C22</f>
        <v>5.4569682106375694E-11</v>
      </c>
      <c r="D23" s="1168">
        <f>D21-D22</f>
        <v>-441.34059999991587</v>
      </c>
      <c r="E23" s="1168">
        <f t="shared" si="0"/>
        <v>-441.34059999997044</v>
      </c>
    </row>
    <row r="24" spans="1:5" s="133" customFormat="1" ht="9.75" customHeight="1">
      <c r="A24" s="138"/>
      <c r="B24" s="139" t="s">
        <v>202</v>
      </c>
      <c r="C24" s="1169">
        <f>реал!E127</f>
        <v>756926.23908654891</v>
      </c>
      <c r="D24" s="1169">
        <f>реал!G127</f>
        <v>768951.42851000011</v>
      </c>
      <c r="E24" s="1166">
        <f t="shared" si="0"/>
        <v>12025.1894234512</v>
      </c>
    </row>
    <row r="25" spans="1:5" s="133" customFormat="1" ht="12" customHeight="1" thickBot="1">
      <c r="A25" s="140"/>
      <c r="B25" s="141" t="s">
        <v>203</v>
      </c>
      <c r="C25" s="1169">
        <f>реал!E64</f>
        <v>735534.34893101873</v>
      </c>
      <c r="D25" s="1169">
        <f>реал!G64</f>
        <v>721890.90792995633</v>
      </c>
      <c r="E25" s="1170">
        <f t="shared" si="0"/>
        <v>-13643.441001062398</v>
      </c>
    </row>
    <row r="26" spans="1:5" ht="18.75" customHeight="1" thickBot="1">
      <c r="A26" s="142"/>
      <c r="B26" s="322" t="s">
        <v>204</v>
      </c>
      <c r="C26" s="2327">
        <f>C24-C25</f>
        <v>21391.890155530185</v>
      </c>
      <c r="D26" s="1171">
        <f>D24-D25</f>
        <v>47060.520580043783</v>
      </c>
      <c r="E26" s="1171">
        <f t="shared" si="0"/>
        <v>25668.630424513598</v>
      </c>
    </row>
    <row r="27" spans="1:5" s="133" customFormat="1" ht="13.5" customHeight="1">
      <c r="A27" s="143"/>
      <c r="B27" s="285" t="s">
        <v>144</v>
      </c>
      <c r="C27" s="2328">
        <f>SUM(C28:C39)</f>
        <v>15082.807205479452</v>
      </c>
      <c r="D27" s="2329">
        <f>SUM(D28:D39)</f>
        <v>71342.55197</v>
      </c>
      <c r="E27" s="1172">
        <f t="shared" si="0"/>
        <v>56259.744764520547</v>
      </c>
    </row>
    <row r="28" spans="1:5" ht="9.75" customHeight="1">
      <c r="A28" s="144"/>
      <c r="B28" s="144" t="s">
        <v>205</v>
      </c>
      <c r="C28" s="1173"/>
      <c r="D28" s="1173">
        <f>540.96576+387.96283</f>
        <v>928.92858999999999</v>
      </c>
      <c r="E28" s="1173">
        <f t="shared" si="0"/>
        <v>928.92858999999999</v>
      </c>
    </row>
    <row r="29" spans="1:5" ht="9.75" customHeight="1" outlineLevel="1">
      <c r="A29" s="144"/>
      <c r="B29" s="144" t="s">
        <v>206</v>
      </c>
      <c r="C29" s="1173"/>
      <c r="D29" s="1173"/>
      <c r="E29" s="1173">
        <f t="shared" si="0"/>
        <v>0</v>
      </c>
    </row>
    <row r="30" spans="1:5" ht="9.75" customHeight="1" outlineLevel="1">
      <c r="A30" s="144"/>
      <c r="B30" s="144" t="s">
        <v>207</v>
      </c>
      <c r="C30" s="1173"/>
      <c r="D30" s="1173"/>
      <c r="E30" s="1173">
        <f t="shared" si="0"/>
        <v>0</v>
      </c>
    </row>
    <row r="31" spans="1:5" ht="9.75" customHeight="1" outlineLevel="1">
      <c r="A31" s="144"/>
      <c r="B31" s="144" t="s">
        <v>307</v>
      </c>
      <c r="C31" s="1173"/>
      <c r="D31" s="1173"/>
      <c r="E31" s="1173">
        <f t="shared" si="0"/>
        <v>0</v>
      </c>
    </row>
    <row r="32" spans="1:5" ht="9" customHeight="1" outlineLevel="1">
      <c r="A32" s="144"/>
      <c r="B32" s="144" t="s">
        <v>209</v>
      </c>
      <c r="C32" s="1173"/>
      <c r="D32" s="1173">
        <v>372.49400000000003</v>
      </c>
      <c r="E32" s="1173">
        <f>D32-C32</f>
        <v>372.49400000000003</v>
      </c>
    </row>
    <row r="33" spans="1:6" ht="9" customHeight="1" outlineLevel="1">
      <c r="A33" s="144"/>
      <c r="B33" s="144" t="s">
        <v>308</v>
      </c>
      <c r="C33" s="1173"/>
      <c r="D33" s="1173"/>
      <c r="E33" s="1173">
        <f>D33-C33</f>
        <v>0</v>
      </c>
    </row>
    <row r="34" spans="1:6" ht="9" customHeight="1" outlineLevel="1">
      <c r="A34" s="144"/>
      <c r="B34" s="144" t="s">
        <v>697</v>
      </c>
      <c r="C34" s="1173"/>
      <c r="D34" s="1173">
        <v>1695.5403899999999</v>
      </c>
      <c r="E34" s="1173">
        <f t="shared" si="0"/>
        <v>1695.5403899999999</v>
      </c>
    </row>
    <row r="35" spans="1:6" ht="9" customHeight="1">
      <c r="A35" s="144"/>
      <c r="B35" s="144" t="s">
        <v>211</v>
      </c>
      <c r="C35" s="1173">
        <f>[1]БДР!C39+[2]БДР!C39</f>
        <v>4115.807205479452</v>
      </c>
      <c r="D35" s="1173">
        <v>6690.8005199999998</v>
      </c>
      <c r="E35" s="1173">
        <f t="shared" si="0"/>
        <v>2574.9933145205478</v>
      </c>
      <c r="F35" s="329"/>
    </row>
    <row r="36" spans="1:6" ht="9.75" customHeight="1">
      <c r="A36" s="144"/>
      <c r="B36" s="144" t="s">
        <v>212</v>
      </c>
      <c r="C36" s="1173">
        <v>10967</v>
      </c>
      <c r="D36" s="1173">
        <v>11508.23761</v>
      </c>
      <c r="E36" s="1173">
        <f t="shared" si="0"/>
        <v>541.23761000000013</v>
      </c>
      <c r="F36" s="329"/>
    </row>
    <row r="37" spans="1:6" ht="9.75" customHeight="1">
      <c r="A37" s="144"/>
      <c r="B37" s="144" t="s">
        <v>213</v>
      </c>
      <c r="C37" s="1173"/>
      <c r="D37" s="1173">
        <f>30.75+6.174</f>
        <v>36.923999999999999</v>
      </c>
      <c r="E37" s="1173">
        <f>D37-C37</f>
        <v>36.923999999999999</v>
      </c>
    </row>
    <row r="38" spans="1:6" ht="9.75" customHeight="1">
      <c r="A38" s="145"/>
      <c r="B38" s="2330" t="s">
        <v>696</v>
      </c>
      <c r="C38" s="1173"/>
      <c r="D38" s="1174">
        <v>49166.285909999999</v>
      </c>
      <c r="E38" s="1174"/>
    </row>
    <row r="39" spans="1:6" ht="9.75" customHeight="1" thickBot="1">
      <c r="A39" s="145"/>
      <c r="B39" s="145" t="s">
        <v>214</v>
      </c>
      <c r="C39" s="1173"/>
      <c r="D39" s="1174">
        <f>71342.55197-SUM(D28:D38)</f>
        <v>943.34094999999797</v>
      </c>
      <c r="E39" s="1175">
        <f t="shared" si="0"/>
        <v>943.34094999999797</v>
      </c>
    </row>
    <row r="40" spans="1:6" s="133" customFormat="1" ht="9.75" customHeight="1">
      <c r="A40" s="146"/>
      <c r="B40" s="146" t="s">
        <v>79</v>
      </c>
      <c r="C40" s="1172">
        <f>SUM(C41:C50)+C51+C59</f>
        <v>44395.455926027396</v>
      </c>
      <c r="D40" s="1172">
        <f>SUM(D41:D51)+D59</f>
        <v>64443.217779999999</v>
      </c>
      <c r="E40" s="1172">
        <f t="shared" si="0"/>
        <v>20047.761853972603</v>
      </c>
    </row>
    <row r="41" spans="1:6" ht="9.75" customHeight="1" outlineLevel="1">
      <c r="A41" s="144"/>
      <c r="B41" s="144" t="s">
        <v>215</v>
      </c>
      <c r="C41" s="1173">
        <f>[1]БДР!C44+[2]БДР!C44</f>
        <v>8724.6410958904089</v>
      </c>
      <c r="D41" s="1173">
        <v>6594.1779900000001</v>
      </c>
      <c r="E41" s="1173">
        <f t="shared" si="0"/>
        <v>-2130.4631058904088</v>
      </c>
    </row>
    <row r="42" spans="1:6" ht="9.75" customHeight="1" outlineLevel="1">
      <c r="A42" s="144"/>
      <c r="B42" s="144" t="s">
        <v>216</v>
      </c>
      <c r="C42" s="1173">
        <f>[1]БДР!C45+[2]БДР!C45</f>
        <v>14087.314830136987</v>
      </c>
      <c r="D42" s="1173">
        <v>13744.9604</v>
      </c>
      <c r="E42" s="1173">
        <f t="shared" si="0"/>
        <v>-342.3544301369875</v>
      </c>
    </row>
    <row r="43" spans="1:6" ht="9.75" customHeight="1" outlineLevel="1">
      <c r="A43" s="144"/>
      <c r="B43" s="144" t="s">
        <v>217</v>
      </c>
      <c r="C43" s="1173">
        <f>[1]БДР!C46</f>
        <v>0</v>
      </c>
      <c r="D43" s="1173">
        <f>216.82324+367.93291</f>
        <v>584.75614999999993</v>
      </c>
      <c r="E43" s="1173">
        <f t="shared" si="0"/>
        <v>584.75614999999993</v>
      </c>
    </row>
    <row r="44" spans="1:6" ht="9.75" customHeight="1" outlineLevel="1">
      <c r="A44" s="144"/>
      <c r="B44" s="144" t="s">
        <v>218</v>
      </c>
      <c r="C44" s="1173">
        <f>[1]БДР!C47</f>
        <v>0</v>
      </c>
      <c r="D44" s="1173">
        <f>2+312.58192+134.12588</f>
        <v>448.70780000000002</v>
      </c>
      <c r="E44" s="1173">
        <f t="shared" si="0"/>
        <v>448.70780000000002</v>
      </c>
    </row>
    <row r="45" spans="1:6" ht="9.75" customHeight="1" outlineLevel="1">
      <c r="A45" s="145"/>
      <c r="B45" s="147" t="s">
        <v>303</v>
      </c>
      <c r="C45" s="1173">
        <f>[1]БДР!C48</f>
        <v>0</v>
      </c>
      <c r="D45" s="1174">
        <v>1119.68588</v>
      </c>
      <c r="E45" s="1173">
        <f t="shared" si="0"/>
        <v>1119.68588</v>
      </c>
    </row>
    <row r="46" spans="1:6" ht="9.75" customHeight="1" outlineLevel="1">
      <c r="A46" s="145"/>
      <c r="B46" s="147" t="s">
        <v>306</v>
      </c>
      <c r="C46" s="1173">
        <f>[1]БДР!C49+[2]БДР!C49</f>
        <v>14745</v>
      </c>
      <c r="D46" s="1174">
        <v>4890.2168899999997</v>
      </c>
      <c r="E46" s="1173">
        <f t="shared" si="0"/>
        <v>-9854.7831100000003</v>
      </c>
    </row>
    <row r="47" spans="1:6" ht="9.75" customHeight="1" outlineLevel="1">
      <c r="A47" s="145"/>
      <c r="B47" s="147" t="s">
        <v>684</v>
      </c>
      <c r="C47" s="1173">
        <f>[1]БДР!C50+[2]БДР!C50</f>
        <v>3480</v>
      </c>
      <c r="D47" s="1174">
        <f>260+1423.38447+2212.09836</f>
        <v>3895.4828299999999</v>
      </c>
      <c r="E47" s="1173">
        <f t="shared" si="0"/>
        <v>415.48282999999992</v>
      </c>
    </row>
    <row r="48" spans="1:6" ht="9.75" customHeight="1" outlineLevel="1">
      <c r="A48" s="145"/>
      <c r="B48" s="2331" t="s">
        <v>698</v>
      </c>
      <c r="C48" s="1173"/>
      <c r="D48" s="1174">
        <v>13231.957479999999</v>
      </c>
      <c r="E48" s="1173">
        <f t="shared" si="0"/>
        <v>13231.957479999999</v>
      </c>
    </row>
    <row r="49" spans="1:6" ht="9.75" customHeight="1" outlineLevel="1">
      <c r="A49" s="145"/>
      <c r="B49" s="147" t="s">
        <v>304</v>
      </c>
      <c r="C49" s="1173">
        <f>[1]БДР!C51+[2]БДР!C51</f>
        <v>3000</v>
      </c>
      <c r="D49" s="1174">
        <v>1493.0436299999999</v>
      </c>
      <c r="E49" s="1173">
        <f t="shared" si="0"/>
        <v>-1506.9563700000001</v>
      </c>
    </row>
    <row r="50" spans="1:6" ht="9.75" customHeight="1" outlineLevel="1">
      <c r="A50" s="145"/>
      <c r="B50" s="147" t="s">
        <v>671</v>
      </c>
      <c r="C50" s="1173"/>
      <c r="D50" s="1174">
        <f>464.20777+11136.99305</f>
        <v>11601.200819999998</v>
      </c>
      <c r="E50" s="1173">
        <f t="shared" si="0"/>
        <v>11601.200819999998</v>
      </c>
    </row>
    <row r="51" spans="1:6" ht="9.75" customHeight="1">
      <c r="A51" s="145"/>
      <c r="B51" s="446" t="s">
        <v>219</v>
      </c>
      <c r="C51" s="2329">
        <f>SUM(C52:C58)</f>
        <v>258.5</v>
      </c>
      <c r="D51" s="1176">
        <f>SUM(D52:D58)</f>
        <v>653.02044000000001</v>
      </c>
      <c r="E51" s="1173">
        <f t="shared" si="0"/>
        <v>394.52044000000001</v>
      </c>
    </row>
    <row r="52" spans="1:6" ht="9.75" customHeight="1">
      <c r="A52" s="145"/>
      <c r="B52" s="147" t="s">
        <v>220</v>
      </c>
      <c r="C52" s="1173">
        <f>[1]БДР!C54+[2]БДР!C54</f>
        <v>78.5</v>
      </c>
      <c r="D52" s="1174">
        <v>131.19999999999999</v>
      </c>
      <c r="E52" s="1173">
        <f>D52-C52</f>
        <v>52.699999999999989</v>
      </c>
    </row>
    <row r="53" spans="1:6" ht="11.25" customHeight="1">
      <c r="A53" s="145"/>
      <c r="B53" s="147" t="s">
        <v>221</v>
      </c>
      <c r="C53" s="1173">
        <f>[1]БДР!C55</f>
        <v>0</v>
      </c>
      <c r="D53" s="1174">
        <v>316.50056000000001</v>
      </c>
      <c r="E53" s="1173">
        <f t="shared" ref="E53:E58" si="3">D53-C53</f>
        <v>316.50056000000001</v>
      </c>
    </row>
    <row r="54" spans="1:6" ht="9.75" customHeight="1" outlineLevel="1">
      <c r="A54" s="145"/>
      <c r="B54" s="147" t="s">
        <v>222</v>
      </c>
      <c r="C54" s="1173">
        <f>[1]БДР!C55</f>
        <v>0</v>
      </c>
      <c r="D54" s="1174"/>
      <c r="E54" s="1173">
        <f t="shared" si="3"/>
        <v>0</v>
      </c>
    </row>
    <row r="55" spans="1:6" ht="9.75" customHeight="1" outlineLevel="1">
      <c r="A55" s="145"/>
      <c r="B55" s="147" t="s">
        <v>223</v>
      </c>
      <c r="C55" s="1173">
        <f>[1]БДР!C56</f>
        <v>0</v>
      </c>
      <c r="D55" s="1174"/>
      <c r="E55" s="1173">
        <f t="shared" si="3"/>
        <v>0</v>
      </c>
    </row>
    <row r="56" spans="1:6" ht="9.75" customHeight="1" outlineLevel="1">
      <c r="A56" s="145"/>
      <c r="B56" s="147" t="s">
        <v>224</v>
      </c>
      <c r="C56" s="1173">
        <f>[1]БДР!C57</f>
        <v>0</v>
      </c>
      <c r="D56" s="1174"/>
      <c r="E56" s="1173">
        <f t="shared" si="3"/>
        <v>0</v>
      </c>
    </row>
    <row r="57" spans="1:6" ht="9.75" customHeight="1" outlineLevel="1">
      <c r="A57" s="145"/>
      <c r="B57" s="147" t="s">
        <v>225</v>
      </c>
      <c r="C57" s="1173">
        <f>[1]БДР!C58</f>
        <v>0</v>
      </c>
      <c r="D57" s="1174"/>
      <c r="E57" s="1173">
        <f t="shared" si="3"/>
        <v>0</v>
      </c>
    </row>
    <row r="58" spans="1:6" ht="9.75" customHeight="1">
      <c r="A58" s="145"/>
      <c r="B58" s="147" t="s">
        <v>226</v>
      </c>
      <c r="C58" s="1173">
        <f>[1]БДР!C60+[2]БДР!C60</f>
        <v>180</v>
      </c>
      <c r="D58" s="1174">
        <v>205.31988000000001</v>
      </c>
      <c r="E58" s="1173">
        <f t="shared" si="3"/>
        <v>25.319880000000012</v>
      </c>
    </row>
    <row r="59" spans="1:6" ht="9.75" customHeight="1" thickBot="1">
      <c r="A59" s="148"/>
      <c r="B59" s="447" t="s">
        <v>413</v>
      </c>
      <c r="C59" s="1173">
        <f>[1]БДР!C61+[2]БДР!C61</f>
        <v>100</v>
      </c>
      <c r="D59" s="1177">
        <f>64567.50213-D50-D41-D42-D44-D45-D46-D49-D51-D62-D47-D43-D48</f>
        <v>6186.007469999995</v>
      </c>
      <c r="E59" s="1177">
        <f t="shared" ref="E59:E68" si="4">D59-C59</f>
        <v>6086.007469999995</v>
      </c>
    </row>
    <row r="60" spans="1:6" ht="12.75" customHeight="1" thickBot="1">
      <c r="A60" s="142"/>
      <c r="B60" s="142" t="s">
        <v>227</v>
      </c>
      <c r="C60" s="1171">
        <f>C26+C27-C40</f>
        <v>-7920.7585650177571</v>
      </c>
      <c r="D60" s="1171">
        <f>D26+D27-D40</f>
        <v>53959.854770043785</v>
      </c>
      <c r="E60" s="1171">
        <f t="shared" si="4"/>
        <v>61880.613335061542</v>
      </c>
      <c r="F60" s="291"/>
    </row>
    <row r="61" spans="1:6" ht="9.75" customHeight="1">
      <c r="A61" s="144"/>
      <c r="B61" s="144" t="s">
        <v>344</v>
      </c>
      <c r="C61" s="1173"/>
      <c r="D61" s="1173"/>
      <c r="E61" s="1173">
        <f t="shared" si="4"/>
        <v>0</v>
      </c>
      <c r="F61" s="291"/>
    </row>
    <row r="62" spans="1:6" ht="9.75" customHeight="1">
      <c r="A62" s="144"/>
      <c r="B62" s="144" t="s">
        <v>328</v>
      </c>
      <c r="C62" s="1173">
        <f>[1]БДР!C64+[2]БДР!C64</f>
        <v>202</v>
      </c>
      <c r="D62" s="1173">
        <f>122.069+2.21535</f>
        <v>124.28435</v>
      </c>
      <c r="E62" s="1173"/>
      <c r="F62" s="291"/>
    </row>
    <row r="63" spans="1:6" ht="9.75" customHeight="1" thickBot="1">
      <c r="A63" s="144"/>
      <c r="B63" s="144" t="s">
        <v>228</v>
      </c>
      <c r="C63" s="1173"/>
      <c r="D63" s="1173" t="s">
        <v>229</v>
      </c>
      <c r="E63" s="1173"/>
    </row>
    <row r="64" spans="1:6" ht="9.75" customHeight="1" thickBot="1">
      <c r="A64" s="142"/>
      <c r="B64" s="142" t="s">
        <v>148</v>
      </c>
      <c r="C64" s="1171">
        <f>C60-C61-C62-C63</f>
        <v>-8122.7585650177571</v>
      </c>
      <c r="D64" s="1171">
        <f>D60-D62</f>
        <v>53835.570420043783</v>
      </c>
      <c r="E64" s="1171">
        <f t="shared" si="4"/>
        <v>61958.32898506154</v>
      </c>
    </row>
    <row r="65" spans="1:5" ht="13.5" customHeight="1" outlineLevel="1">
      <c r="A65" s="149"/>
      <c r="B65" s="150" t="s">
        <v>538</v>
      </c>
      <c r="C65" s="1173"/>
      <c r="D65" s="1173"/>
      <c r="E65" s="1173">
        <f t="shared" si="4"/>
        <v>0</v>
      </c>
    </row>
    <row r="66" spans="1:5" ht="13.5" customHeight="1" outlineLevel="1">
      <c r="A66" s="144"/>
      <c r="B66" s="150" t="s">
        <v>539</v>
      </c>
      <c r="C66" s="1173"/>
      <c r="D66" s="1173"/>
      <c r="E66" s="1173">
        <f t="shared" si="4"/>
        <v>0</v>
      </c>
    </row>
    <row r="67" spans="1:5" ht="13.5" customHeight="1" outlineLevel="1" thickBot="1">
      <c r="A67" s="708"/>
      <c r="B67" s="150" t="s">
        <v>540</v>
      </c>
      <c r="C67" s="1173"/>
      <c r="D67" s="1174"/>
      <c r="E67" s="1173"/>
    </row>
    <row r="68" spans="1:5" ht="13.5" customHeight="1" outlineLevel="1">
      <c r="A68" s="151"/>
      <c r="B68" s="147" t="s">
        <v>230</v>
      </c>
      <c r="C68" s="1173"/>
      <c r="D68" s="1174"/>
      <c r="E68" s="1173">
        <f t="shared" si="4"/>
        <v>0</v>
      </c>
    </row>
    <row r="69" spans="1:5" ht="13.5" customHeight="1" outlineLevel="1" thickBot="1">
      <c r="A69" s="152"/>
      <c r="B69" s="147" t="s">
        <v>150</v>
      </c>
      <c r="C69" s="1173"/>
      <c r="D69" s="1173"/>
      <c r="E69" s="1173">
        <f>D69-C69</f>
        <v>0</v>
      </c>
    </row>
    <row r="70" spans="1:5" ht="13.5" customHeight="1" outlineLevel="1" thickBot="1">
      <c r="A70" s="142"/>
      <c r="B70" s="142" t="s">
        <v>151</v>
      </c>
      <c r="C70" s="1171">
        <f>C64</f>
        <v>-8122.7585650177571</v>
      </c>
      <c r="D70" s="1171">
        <f>D64-D69</f>
        <v>53835.570420043783</v>
      </c>
      <c r="E70" s="1171">
        <f>D70-C70</f>
        <v>61958.32898506154</v>
      </c>
    </row>
    <row r="71" spans="1:5" ht="13.5" customHeight="1"/>
  </sheetData>
  <phoneticPr fontId="18" type="noConversion"/>
  <pageMargins left="0.74803149606299213" right="0.27559055118110237" top="0.73" bottom="0.19685039370078741" header="0.23622047244094491" footer="0.19685039370078741"/>
  <pageSetup paperSize="9" scale="105" orientation="portrait" r:id="rId1"/>
  <headerFooter alignWithMargins="0">
    <oddHeader>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>
    <tabColor rgb="FFFF0000"/>
  </sheetPr>
  <dimension ref="A1:AN119"/>
  <sheetViews>
    <sheetView topLeftCell="A85" workbookViewId="0">
      <selection activeCell="E113" sqref="E113"/>
    </sheetView>
  </sheetViews>
  <sheetFormatPr defaultColWidth="4.42578125" defaultRowHeight="11.25" customHeight="1" outlineLevelRow="2" outlineLevelCol="1"/>
  <cols>
    <col min="1" max="1" width="8.85546875" style="472" customWidth="1"/>
    <col min="2" max="2" width="4.7109375" style="472" customWidth="1"/>
    <col min="3" max="3" width="5.85546875" style="473" customWidth="1"/>
    <col min="4" max="4" width="4.85546875" style="472" customWidth="1"/>
    <col min="5" max="5" width="4.85546875" style="474" customWidth="1"/>
    <col min="6" max="7" width="5.7109375" style="474" customWidth="1"/>
    <col min="8" max="8" width="5.140625" style="474" customWidth="1"/>
    <col min="9" max="9" width="4.7109375" style="474" customWidth="1"/>
    <col min="10" max="10" width="5.42578125" style="474" customWidth="1"/>
    <col min="11" max="11" width="6" style="474" customWidth="1"/>
    <col min="12" max="12" width="6.5703125" style="474" customWidth="1"/>
    <col min="13" max="13" width="6" style="474" customWidth="1"/>
    <col min="14" max="14" width="5.28515625" style="474" customWidth="1"/>
    <col min="15" max="15" width="5.42578125" style="472" customWidth="1"/>
    <col min="16" max="16" width="6.28515625" style="1611" customWidth="1"/>
    <col min="17" max="17" width="5.7109375" style="474" customWidth="1"/>
    <col min="18" max="18" width="7" style="473" customWidth="1"/>
    <col min="19" max="19" width="7.42578125" style="475" customWidth="1"/>
    <col min="20" max="20" width="6" style="474" customWidth="1"/>
    <col min="21" max="21" width="5.5703125" style="472" customWidth="1"/>
    <col min="22" max="22" width="4.85546875" style="473" customWidth="1"/>
    <col min="23" max="23" width="4.140625" style="475" customWidth="1"/>
    <col min="24" max="24" width="5.7109375" style="474" customWidth="1"/>
    <col min="25" max="25" width="4.42578125" style="472" customWidth="1"/>
    <col min="26" max="26" width="5" style="474" customWidth="1"/>
    <col min="27" max="27" width="5.5703125" style="472" customWidth="1"/>
    <col min="28" max="28" width="6" style="475" customWidth="1"/>
    <col min="29" max="29" width="3.42578125" style="474" customWidth="1"/>
    <col min="30" max="30" width="3.5703125" style="473" customWidth="1"/>
    <col min="31" max="31" width="4.7109375" style="474" customWidth="1"/>
    <col min="32" max="32" width="4.5703125" style="475" customWidth="1" outlineLevel="1"/>
    <col min="33" max="33" width="3.85546875" style="475" customWidth="1" outlineLevel="1"/>
    <col min="34" max="34" width="4.7109375" style="476" customWidth="1" outlineLevel="1"/>
    <col min="35" max="35" width="4.28515625" style="476" customWidth="1" outlineLevel="1"/>
    <col min="36" max="37" width="5.5703125" style="476" customWidth="1"/>
    <col min="38" max="38" width="5" style="476" customWidth="1"/>
    <col min="39" max="39" width="5.28515625" style="476" customWidth="1"/>
    <col min="40" max="40" width="4.85546875" style="476" customWidth="1"/>
    <col min="41" max="16384" width="4.42578125" style="472"/>
  </cols>
  <sheetData>
    <row r="1" spans="1:40" ht="12" customHeight="1">
      <c r="A1" s="471" t="s">
        <v>655</v>
      </c>
      <c r="AB1" s="472"/>
      <c r="AD1" s="475"/>
      <c r="AN1" s="472"/>
    </row>
    <row r="2" spans="1:40" s="471" customFormat="1" ht="9.75" customHeight="1" thickBot="1">
      <c r="A2" s="471" t="s">
        <v>573</v>
      </c>
      <c r="C2" s="477"/>
      <c r="E2" s="478"/>
      <c r="F2" s="478"/>
      <c r="G2" s="478"/>
      <c r="H2" s="478"/>
      <c r="I2" s="478"/>
      <c r="J2" s="478"/>
      <c r="K2" s="478"/>
      <c r="L2" s="478"/>
      <c r="M2" s="478"/>
      <c r="N2" s="478"/>
      <c r="P2" s="1612"/>
      <c r="Q2" s="478"/>
      <c r="R2" s="477"/>
      <c r="S2" s="479"/>
      <c r="T2" s="478"/>
      <c r="V2" s="477"/>
      <c r="W2" s="479"/>
      <c r="X2" s="478"/>
      <c r="Z2" s="478"/>
      <c r="AC2" s="478"/>
      <c r="AD2" s="479"/>
      <c r="AE2" s="478"/>
      <c r="AF2" s="479"/>
      <c r="AG2" s="479"/>
      <c r="AH2" s="480"/>
      <c r="AI2" s="480"/>
      <c r="AJ2" s="480"/>
      <c r="AK2" s="480"/>
      <c r="AL2" s="480"/>
      <c r="AM2" s="480"/>
    </row>
    <row r="3" spans="1:40" ht="10.5" customHeight="1" thickBot="1">
      <c r="A3" s="2378" t="s">
        <v>0</v>
      </c>
      <c r="B3" s="2381" t="s">
        <v>1</v>
      </c>
      <c r="C3" s="2382"/>
      <c r="D3" s="2387" t="s">
        <v>19</v>
      </c>
      <c r="E3" s="2388"/>
      <c r="F3" s="2388"/>
      <c r="G3" s="2388"/>
      <c r="H3" s="2388"/>
      <c r="I3" s="2388"/>
      <c r="J3" s="2388"/>
      <c r="K3" s="2388"/>
      <c r="L3" s="2388"/>
      <c r="M3" s="2388"/>
      <c r="N3" s="2388"/>
      <c r="O3" s="2388"/>
      <c r="P3" s="2388"/>
      <c r="Q3" s="2388"/>
      <c r="R3" s="2388"/>
      <c r="S3" s="2388"/>
      <c r="T3" s="2388"/>
      <c r="U3" s="2388"/>
      <c r="V3" s="2389"/>
      <c r="W3" s="2390" t="s">
        <v>2</v>
      </c>
      <c r="X3" s="2391"/>
      <c r="Y3" s="2381" t="s">
        <v>3</v>
      </c>
      <c r="Z3" s="2382"/>
      <c r="AA3" s="2360" t="s">
        <v>4</v>
      </c>
      <c r="AB3" s="2361"/>
      <c r="AC3" s="2362" t="s">
        <v>20</v>
      </c>
      <c r="AD3" s="2365" t="s">
        <v>21</v>
      </c>
      <c r="AE3" s="2368" t="s">
        <v>22</v>
      </c>
      <c r="AF3" s="2369"/>
      <c r="AG3" s="2369"/>
      <c r="AH3" s="2370"/>
      <c r="AI3" s="2413" t="s">
        <v>23</v>
      </c>
      <c r="AJ3" s="472"/>
      <c r="AK3" s="472"/>
      <c r="AL3" s="472"/>
      <c r="AM3" s="472"/>
      <c r="AN3" s="472"/>
    </row>
    <row r="4" spans="1:40" ht="11.25" customHeight="1" thickBot="1">
      <c r="A4" s="2379"/>
      <c r="B4" s="2383"/>
      <c r="C4" s="2384"/>
      <c r="D4" s="2396" t="s">
        <v>5</v>
      </c>
      <c r="E4" s="2397"/>
      <c r="F4" s="2397"/>
      <c r="G4" s="2397"/>
      <c r="H4" s="2397"/>
      <c r="I4" s="2397"/>
      <c r="J4" s="2397"/>
      <c r="K4" s="2397"/>
      <c r="L4" s="2398"/>
      <c r="M4" s="2396" t="s">
        <v>6</v>
      </c>
      <c r="N4" s="2397"/>
      <c r="O4" s="2397"/>
      <c r="P4" s="2397"/>
      <c r="Q4" s="2397"/>
      <c r="R4" s="2397"/>
      <c r="S4" s="2397"/>
      <c r="T4" s="2397"/>
      <c r="U4" s="2397"/>
      <c r="V4" s="2398"/>
      <c r="W4" s="2392"/>
      <c r="X4" s="2393"/>
      <c r="Y4" s="2383"/>
      <c r="Z4" s="2384"/>
      <c r="AA4" s="2416" t="s">
        <v>418</v>
      </c>
      <c r="AB4" s="2418" t="s">
        <v>419</v>
      </c>
      <c r="AC4" s="2363"/>
      <c r="AD4" s="2366"/>
      <c r="AE4" s="2420" t="s">
        <v>24</v>
      </c>
      <c r="AF4" s="2422" t="s">
        <v>25</v>
      </c>
      <c r="AG4" s="2422"/>
      <c r="AH4" s="2423"/>
      <c r="AI4" s="2414"/>
      <c r="AJ4" s="472"/>
      <c r="AK4" s="472"/>
      <c r="AL4" s="472"/>
      <c r="AM4" s="472"/>
      <c r="AN4" s="472"/>
    </row>
    <row r="5" spans="1:40" ht="18" customHeight="1" thickBot="1">
      <c r="A5" s="2379"/>
      <c r="B5" s="2385"/>
      <c r="C5" s="2386"/>
      <c r="D5" s="2399" t="s">
        <v>26</v>
      </c>
      <c r="E5" s="2400"/>
      <c r="F5" s="2399" t="s">
        <v>7</v>
      </c>
      <c r="G5" s="2401"/>
      <c r="H5" s="2402" t="s">
        <v>433</v>
      </c>
      <c r="I5" s="2403"/>
      <c r="J5" s="2404" t="s">
        <v>27</v>
      </c>
      <c r="K5" s="2405"/>
      <c r="L5" s="481" t="s">
        <v>8</v>
      </c>
      <c r="M5" s="2406" t="s">
        <v>28</v>
      </c>
      <c r="N5" s="2407"/>
      <c r="O5" s="2408" t="s">
        <v>29</v>
      </c>
      <c r="P5" s="2409"/>
      <c r="Q5" s="2406" t="s">
        <v>30</v>
      </c>
      <c r="R5" s="2407"/>
      <c r="S5" s="2410" t="s">
        <v>9</v>
      </c>
      <c r="T5" s="2411"/>
      <c r="U5" s="2412" t="s">
        <v>695</v>
      </c>
      <c r="V5" s="2411"/>
      <c r="W5" s="2394"/>
      <c r="X5" s="2395"/>
      <c r="Y5" s="2385"/>
      <c r="Z5" s="2386"/>
      <c r="AA5" s="2417"/>
      <c r="AB5" s="2419"/>
      <c r="AC5" s="2364"/>
      <c r="AD5" s="2367"/>
      <c r="AE5" s="2421"/>
      <c r="AF5" s="482" t="s">
        <v>506</v>
      </c>
      <c r="AG5" s="482" t="s">
        <v>309</v>
      </c>
      <c r="AH5" s="483" t="s">
        <v>312</v>
      </c>
      <c r="AI5" s="2415"/>
      <c r="AJ5" s="472"/>
      <c r="AK5" s="472"/>
      <c r="AL5" s="472"/>
      <c r="AM5" s="472"/>
      <c r="AN5" s="472"/>
    </row>
    <row r="6" spans="1:40" ht="12" customHeight="1" thickBot="1">
      <c r="A6" s="2380"/>
      <c r="B6" s="484" t="s">
        <v>10</v>
      </c>
      <c r="C6" s="485" t="s">
        <v>11</v>
      </c>
      <c r="D6" s="484" t="s">
        <v>10</v>
      </c>
      <c r="E6" s="486" t="s">
        <v>11</v>
      </c>
      <c r="F6" s="487" t="s">
        <v>10</v>
      </c>
      <c r="G6" s="488" t="s">
        <v>33</v>
      </c>
      <c r="H6" s="489" t="s">
        <v>10</v>
      </c>
      <c r="I6" s="486" t="s">
        <v>33</v>
      </c>
      <c r="J6" s="487" t="s">
        <v>10</v>
      </c>
      <c r="K6" s="488" t="s">
        <v>33</v>
      </c>
      <c r="L6" s="490" t="s">
        <v>33</v>
      </c>
      <c r="M6" s="491" t="s">
        <v>10</v>
      </c>
      <c r="N6" s="486" t="s">
        <v>11</v>
      </c>
      <c r="O6" s="492" t="s">
        <v>10</v>
      </c>
      <c r="P6" s="1613" t="s">
        <v>11</v>
      </c>
      <c r="Q6" s="491" t="s">
        <v>10</v>
      </c>
      <c r="R6" s="1816" t="s">
        <v>11</v>
      </c>
      <c r="S6" s="492" t="s">
        <v>10</v>
      </c>
      <c r="T6" s="488" t="s">
        <v>11</v>
      </c>
      <c r="U6" s="491" t="s">
        <v>10</v>
      </c>
      <c r="V6" s="488" t="s">
        <v>11</v>
      </c>
      <c r="W6" s="491" t="s">
        <v>10</v>
      </c>
      <c r="X6" s="486" t="s">
        <v>11</v>
      </c>
      <c r="Y6" s="492" t="s">
        <v>10</v>
      </c>
      <c r="Z6" s="488" t="s">
        <v>11</v>
      </c>
      <c r="AA6" s="493"/>
      <c r="AB6" s="494"/>
      <c r="AC6" s="495" t="s">
        <v>13</v>
      </c>
      <c r="AD6" s="1240" t="s">
        <v>14</v>
      </c>
      <c r="AE6" s="496" t="s">
        <v>15</v>
      </c>
      <c r="AF6" s="497" t="s">
        <v>15</v>
      </c>
      <c r="AG6" s="497" t="s">
        <v>15</v>
      </c>
      <c r="AH6" s="498" t="s">
        <v>15</v>
      </c>
      <c r="AI6" s="1241" t="s">
        <v>314</v>
      </c>
      <c r="AJ6" s="472"/>
      <c r="AK6" s="472"/>
      <c r="AL6" s="472"/>
      <c r="AM6" s="472"/>
      <c r="AN6" s="472"/>
    </row>
    <row r="7" spans="1:40" ht="15.75" customHeight="1">
      <c r="A7" s="499" t="str">
        <f>[1]КРС!A7</f>
        <v>коровы план</v>
      </c>
      <c r="B7" s="502">
        <f>[1]КРС!B7</f>
        <v>145</v>
      </c>
      <c r="C7" s="1817">
        <f>[1]КРС!C7</f>
        <v>65.321860000000001</v>
      </c>
      <c r="D7" s="502"/>
      <c r="E7" s="1818"/>
      <c r="F7" s="502"/>
      <c r="G7" s="1819"/>
      <c r="H7" s="500"/>
      <c r="I7" s="1818"/>
      <c r="J7" s="502">
        <f>[1]КРС!J7+[2]КРС!J7</f>
        <v>25</v>
      </c>
      <c r="K7" s="1593">
        <f>[1]КРС!K7+[2]КРС!K7</f>
        <v>10.75</v>
      </c>
      <c r="L7" s="1593">
        <f>[1]КРС!L7</f>
        <v>0</v>
      </c>
      <c r="M7" s="502">
        <f>[1]КРС!M7+[2]КРС!M7</f>
        <v>21</v>
      </c>
      <c r="N7" s="1593">
        <f>[1]КРС!N7+[2]КРС!N7</f>
        <v>9.4500000000000011</v>
      </c>
      <c r="O7" s="1820"/>
      <c r="P7" s="1821"/>
      <c r="Q7" s="1822"/>
      <c r="R7" s="1823"/>
      <c r="S7" s="502">
        <f>[1]КРС!S7+[2]КРС!S7</f>
        <v>0</v>
      </c>
      <c r="T7" s="1593">
        <f>[1]КРС!T7+[2]КРС!T7</f>
        <v>0</v>
      </c>
      <c r="U7" s="1822"/>
      <c r="V7" s="1824"/>
      <c r="W7" s="500">
        <f>B7+D7+F7+H7+J7-M7-O7-Q7-S7-U7</f>
        <v>149</v>
      </c>
      <c r="X7" s="501">
        <f>C7+E7+G7+I7+K7+L7-N7-P7-R7-T7-V7</f>
        <v>66.621859999999998</v>
      </c>
      <c r="Y7" s="502">
        <f>(B7+W7)/2</f>
        <v>147</v>
      </c>
      <c r="Z7" s="503"/>
      <c r="AA7" s="1256"/>
      <c r="AB7" s="1768">
        <f>[1]КРС!AB7+[2]КРС!AB7</f>
        <v>43936.5</v>
      </c>
      <c r="AC7" s="504"/>
      <c r="AD7" s="505">
        <v>7</v>
      </c>
      <c r="AE7" s="506">
        <f>AB7*AD7/1000</f>
        <v>307.55549999999999</v>
      </c>
      <c r="AF7" s="507">
        <f t="shared" ref="AF7:AH8" si="0">K45</f>
        <v>307.55549999999999</v>
      </c>
      <c r="AG7" s="507"/>
      <c r="AH7" s="508">
        <f t="shared" si="0"/>
        <v>0</v>
      </c>
      <c r="AI7" s="509">
        <f>E91</f>
        <v>2341.8154500000001</v>
      </c>
      <c r="AJ7" s="472"/>
      <c r="AK7" s="472"/>
      <c r="AL7" s="472"/>
      <c r="AM7" s="472"/>
      <c r="AN7" s="472"/>
    </row>
    <row r="8" spans="1:40" ht="15.75" customHeight="1" outlineLevel="1">
      <c r="A8" s="510" t="s">
        <v>16</v>
      </c>
      <c r="B8" s="2147">
        <v>146</v>
      </c>
      <c r="C8" s="2315">
        <v>65.653310000000005</v>
      </c>
      <c r="D8" s="1825"/>
      <c r="E8" s="512"/>
      <c r="F8" s="1825"/>
      <c r="G8" s="514"/>
      <c r="H8" s="1826"/>
      <c r="I8" s="512"/>
      <c r="J8" s="2147">
        <f>M11</f>
        <v>40</v>
      </c>
      <c r="K8" s="2315">
        <f>N11</f>
        <v>17.538</v>
      </c>
      <c r="L8" s="1827"/>
      <c r="M8" s="2316">
        <v>29</v>
      </c>
      <c r="N8" s="2315">
        <v>13.135289999999999</v>
      </c>
      <c r="O8" s="1828"/>
      <c r="P8" s="1829"/>
      <c r="Q8" s="1830"/>
      <c r="R8" s="1831"/>
      <c r="S8" s="1828">
        <v>1</v>
      </c>
      <c r="T8" s="1832">
        <v>0.43099999999999999</v>
      </c>
      <c r="U8" s="1830">
        <v>156</v>
      </c>
      <c r="V8" s="1832">
        <v>69.625020000000006</v>
      </c>
      <c r="W8" s="511">
        <f>B8+D8+F8+H8+J8-M8-O8-Q8-S8-U8</f>
        <v>0</v>
      </c>
      <c r="X8" s="512">
        <f>C8+E8+G8+I8+K8+L8-N8-P8-R8-T8-V8</f>
        <v>0</v>
      </c>
      <c r="Y8" s="1344">
        <f>(B8+W8)/2</f>
        <v>73</v>
      </c>
      <c r="Z8" s="514"/>
      <c r="AA8" s="1833"/>
      <c r="AB8" s="2321">
        <v>42564</v>
      </c>
      <c r="AC8" s="515"/>
      <c r="AD8" s="1220">
        <f>AE8/AB8*1000</f>
        <v>38.155718447514332</v>
      </c>
      <c r="AE8" s="516">
        <f>AF8+AG8+AH8</f>
        <v>1624.06</v>
      </c>
      <c r="AF8" s="517">
        <f t="shared" si="0"/>
        <v>294.572</v>
      </c>
      <c r="AG8" s="517">
        <f t="shared" si="0"/>
        <v>30.457999999999998</v>
      </c>
      <c r="AH8" s="518">
        <f t="shared" si="0"/>
        <v>1299.03</v>
      </c>
      <c r="AI8" s="519" t="e">
        <f>#REF!</f>
        <v>#REF!</v>
      </c>
      <c r="AJ8" s="472"/>
      <c r="AK8" s="472"/>
      <c r="AL8" s="472"/>
      <c r="AM8" s="472"/>
      <c r="AN8" s="472"/>
    </row>
    <row r="9" spans="1:40" s="1597" customFormat="1" ht="15.75" customHeight="1" outlineLevel="1" thickBot="1">
      <c r="A9" s="1596" t="s">
        <v>17</v>
      </c>
      <c r="B9" s="1834">
        <f>B8-B7</f>
        <v>1</v>
      </c>
      <c r="C9" s="1835">
        <f>C8-C7</f>
        <v>0.3314500000000038</v>
      </c>
      <c r="D9" s="1834">
        <f t="shared" ref="D9:K9" si="1">D8-D7</f>
        <v>0</v>
      </c>
      <c r="E9" s="1835">
        <f t="shared" si="1"/>
        <v>0</v>
      </c>
      <c r="F9" s="1834">
        <f t="shared" si="1"/>
        <v>0</v>
      </c>
      <c r="G9" s="1835">
        <f t="shared" si="1"/>
        <v>0</v>
      </c>
      <c r="H9" s="1834">
        <f t="shared" si="1"/>
        <v>0</v>
      </c>
      <c r="I9" s="1835">
        <f t="shared" si="1"/>
        <v>0</v>
      </c>
      <c r="J9" s="1834">
        <f t="shared" si="1"/>
        <v>15</v>
      </c>
      <c r="K9" s="1835">
        <f t="shared" si="1"/>
        <v>6.7880000000000003</v>
      </c>
      <c r="L9" s="1836">
        <f t="shared" ref="L9:V9" si="2">L8-L7</f>
        <v>0</v>
      </c>
      <c r="M9" s="1834">
        <f t="shared" si="2"/>
        <v>8</v>
      </c>
      <c r="N9" s="1835">
        <f t="shared" si="2"/>
        <v>3.6852899999999984</v>
      </c>
      <c r="O9" s="1834">
        <f t="shared" si="2"/>
        <v>0</v>
      </c>
      <c r="P9" s="1837">
        <f t="shared" si="2"/>
        <v>0</v>
      </c>
      <c r="Q9" s="1834">
        <f t="shared" si="2"/>
        <v>0</v>
      </c>
      <c r="R9" s="1835">
        <f t="shared" si="2"/>
        <v>0</v>
      </c>
      <c r="S9" s="1834">
        <f t="shared" si="2"/>
        <v>1</v>
      </c>
      <c r="T9" s="1835">
        <f t="shared" si="2"/>
        <v>0.43099999999999999</v>
      </c>
      <c r="U9" s="1834">
        <f t="shared" si="2"/>
        <v>156</v>
      </c>
      <c r="V9" s="1835">
        <f t="shared" si="2"/>
        <v>69.625020000000006</v>
      </c>
      <c r="W9" s="1838">
        <f>W8-W7</f>
        <v>-149</v>
      </c>
      <c r="X9" s="1839">
        <f>X8-X7</f>
        <v>-66.621859999999998</v>
      </c>
      <c r="Y9" s="1834">
        <f>Y8-Y7</f>
        <v>-74</v>
      </c>
      <c r="Z9" s="1835"/>
      <c r="AA9" s="1840">
        <f t="shared" ref="AA9:AB9" si="3">AA8-AA7</f>
        <v>0</v>
      </c>
      <c r="AB9" s="1841">
        <f t="shared" si="3"/>
        <v>-1372.5</v>
      </c>
      <c r="AC9" s="521">
        <f t="shared" ref="AC9:AI9" si="4">AC8-AC7</f>
        <v>0</v>
      </c>
      <c r="AD9" s="1221">
        <f t="shared" si="4"/>
        <v>31.155718447514332</v>
      </c>
      <c r="AE9" s="1222">
        <f t="shared" si="4"/>
        <v>1316.5045</v>
      </c>
      <c r="AF9" s="1223">
        <f>AE9-AG9</f>
        <v>1286.0464999999999</v>
      </c>
      <c r="AG9" s="1223">
        <f t="shared" si="4"/>
        <v>30.457999999999998</v>
      </c>
      <c r="AH9" s="1224">
        <f t="shared" si="4"/>
        <v>1299.03</v>
      </c>
      <c r="AI9" s="1225" t="e">
        <f t="shared" si="4"/>
        <v>#REF!</v>
      </c>
    </row>
    <row r="10" spans="1:40" ht="15.75" customHeight="1">
      <c r="A10" s="499" t="str">
        <f>[1]КРС!A10</f>
        <v>нетели план</v>
      </c>
      <c r="B10" s="502">
        <f>[1]КРС!B10</f>
        <v>13</v>
      </c>
      <c r="C10" s="1817">
        <f>[1]КРС!C10</f>
        <v>5.85</v>
      </c>
      <c r="D10" s="500"/>
      <c r="E10" s="1818"/>
      <c r="F10" s="502"/>
      <c r="G10" s="1819"/>
      <c r="H10" s="500"/>
      <c r="I10" s="1818"/>
      <c r="J10" s="502">
        <f>[1]КРС!J10+[2]КРС!J10</f>
        <v>24</v>
      </c>
      <c r="K10" s="1593">
        <f>[1]КРС!K10+[2]КРС!K10</f>
        <v>10.199999999999999</v>
      </c>
      <c r="L10" s="504"/>
      <c r="M10" s="502">
        <f>[1]КРС!M10+[2]КРС!M10</f>
        <v>25</v>
      </c>
      <c r="N10" s="1593">
        <f>[1]КРС!N10+[2]КРС!N10</f>
        <v>10.75</v>
      </c>
      <c r="O10" s="502">
        <f>[1]КРС!O10+[2]КРС!O10</f>
        <v>6</v>
      </c>
      <c r="P10" s="1593">
        <f>[1]КРС!P10+[2]КРС!P10</f>
        <v>2.58</v>
      </c>
      <c r="Q10" s="502">
        <f>[1]КРС!Q10+[2]КРС!Q10</f>
        <v>0</v>
      </c>
      <c r="R10" s="1593">
        <f>[1]КРС!R10+[2]КРС!R10</f>
        <v>0</v>
      </c>
      <c r="S10" s="502">
        <f>[1]КРС!S10+[2]КРС!S10</f>
        <v>0</v>
      </c>
      <c r="T10" s="1593">
        <f>[1]КРС!T10+[2]КРС!T10</f>
        <v>0</v>
      </c>
      <c r="U10" s="1822"/>
      <c r="V10" s="1824"/>
      <c r="W10" s="500">
        <f>B10+D10+F10+H10+J10-M10-O10-Q10-S10-U10</f>
        <v>6</v>
      </c>
      <c r="X10" s="501">
        <f>C10+E10+G10+I10+K10+L10-N10-P10-R10-T10-V10</f>
        <v>2.7199999999999971</v>
      </c>
      <c r="Y10" s="502">
        <f>(B10+W10)/2</f>
        <v>9.5</v>
      </c>
      <c r="Z10" s="503"/>
      <c r="AA10" s="1256"/>
      <c r="AB10" s="1768">
        <f>[1]КРС!AB10+[2]КРС!AB10</f>
        <v>5394</v>
      </c>
      <c r="AC10" s="504"/>
      <c r="AD10" s="1219">
        <v>3</v>
      </c>
      <c r="AE10" s="506">
        <f>AB10*AD10/1000</f>
        <v>16.181999999999999</v>
      </c>
      <c r="AF10" s="507">
        <f t="shared" ref="AF10:AH11" si="5">K48</f>
        <v>16.181999999999999</v>
      </c>
      <c r="AG10" s="507">
        <f t="shared" si="5"/>
        <v>0</v>
      </c>
      <c r="AH10" s="508">
        <f t="shared" si="5"/>
        <v>0</v>
      </c>
      <c r="AI10" s="509">
        <f>G91</f>
        <v>287.50019999999995</v>
      </c>
      <c r="AJ10" s="472"/>
      <c r="AK10" s="472"/>
      <c r="AL10" s="472"/>
      <c r="AM10" s="472"/>
      <c r="AN10" s="472"/>
    </row>
    <row r="11" spans="1:40" ht="15.75" customHeight="1" outlineLevel="1">
      <c r="A11" s="510" t="s">
        <v>16</v>
      </c>
      <c r="B11" s="2147">
        <v>13</v>
      </c>
      <c r="C11" s="2315">
        <v>5.5949999999999998</v>
      </c>
      <c r="D11" s="1842"/>
      <c r="E11" s="512"/>
      <c r="F11" s="1825"/>
      <c r="G11" s="514"/>
      <c r="H11" s="1826"/>
      <c r="I11" s="512"/>
      <c r="J11" s="2316">
        <v>39</v>
      </c>
      <c r="K11" s="2315">
        <v>17.245000000000001</v>
      </c>
      <c r="L11" s="1843"/>
      <c r="M11" s="2313">
        <v>40</v>
      </c>
      <c r="N11" s="2314">
        <v>17.538</v>
      </c>
      <c r="O11" s="2317">
        <v>8</v>
      </c>
      <c r="P11" s="2319">
        <v>3.395</v>
      </c>
      <c r="Q11" s="2313">
        <v>1</v>
      </c>
      <c r="R11" s="2314">
        <v>0.5</v>
      </c>
      <c r="S11" s="2317">
        <v>1</v>
      </c>
      <c r="T11" s="2318">
        <v>0.318</v>
      </c>
      <c r="U11" s="1830"/>
      <c r="V11" s="1832"/>
      <c r="W11" s="511">
        <f>B11+D11+F11+H11+J11-M11-O11-Q11-S11-U11</f>
        <v>2</v>
      </c>
      <c r="X11" s="512">
        <f>C11+E11+G11+I11+K11+L11-N11-P11-R11-T11-V11</f>
        <v>1.0889999999999995</v>
      </c>
      <c r="Y11" s="1344">
        <f>(B11+W11)/2</f>
        <v>7.5</v>
      </c>
      <c r="Z11" s="514"/>
      <c r="AA11" s="1833"/>
      <c r="AB11" s="2321">
        <v>6425</v>
      </c>
      <c r="AC11" s="515"/>
      <c r="AD11" s="1220">
        <f>AE11/AB11*1000</f>
        <v>0</v>
      </c>
      <c r="AE11" s="516">
        <f>AF11+AG11+AH11</f>
        <v>0</v>
      </c>
      <c r="AF11" s="517">
        <f t="shared" si="5"/>
        <v>0</v>
      </c>
      <c r="AG11" s="517">
        <f t="shared" si="5"/>
        <v>0</v>
      </c>
      <c r="AH11" s="518">
        <f t="shared" si="5"/>
        <v>0</v>
      </c>
      <c r="AI11" s="519" t="e">
        <f>#REF!</f>
        <v>#REF!</v>
      </c>
      <c r="AJ11" s="472"/>
      <c r="AK11" s="472"/>
      <c r="AL11" s="472"/>
      <c r="AM11" s="472"/>
      <c r="AN11" s="472"/>
    </row>
    <row r="12" spans="1:40" s="1597" customFormat="1" ht="15.75" customHeight="1" outlineLevel="1" thickBot="1">
      <c r="A12" s="1596" t="s">
        <v>17</v>
      </c>
      <c r="B12" s="1834">
        <f>B11-B10</f>
        <v>0</v>
      </c>
      <c r="C12" s="1835">
        <f>C11-C10</f>
        <v>-0.25499999999999989</v>
      </c>
      <c r="D12" s="1834">
        <f t="shared" ref="D12" si="6">D11-D10</f>
        <v>0</v>
      </c>
      <c r="E12" s="1835">
        <f t="shared" ref="E12" si="7">E11-E10</f>
        <v>0</v>
      </c>
      <c r="F12" s="1834">
        <f t="shared" ref="F12" si="8">F11-F10</f>
        <v>0</v>
      </c>
      <c r="G12" s="1835">
        <f t="shared" ref="G12" si="9">G11-G10</f>
        <v>0</v>
      </c>
      <c r="H12" s="1834">
        <f t="shared" ref="H12" si="10">H11-H10</f>
        <v>0</v>
      </c>
      <c r="I12" s="1835">
        <f t="shared" ref="I12" si="11">I11-I10</f>
        <v>0</v>
      </c>
      <c r="J12" s="1834">
        <f t="shared" ref="J12" si="12">J11-J10</f>
        <v>15</v>
      </c>
      <c r="K12" s="1835">
        <f t="shared" ref="K12:V12" si="13">K11-K10</f>
        <v>7.0450000000000017</v>
      </c>
      <c r="L12" s="1844">
        <f t="shared" si="13"/>
        <v>0</v>
      </c>
      <c r="M12" s="1834">
        <f t="shared" si="13"/>
        <v>15</v>
      </c>
      <c r="N12" s="1835">
        <f t="shared" si="13"/>
        <v>6.7880000000000003</v>
      </c>
      <c r="O12" s="1834">
        <f t="shared" si="13"/>
        <v>2</v>
      </c>
      <c r="P12" s="1837">
        <f t="shared" si="13"/>
        <v>0.81499999999999995</v>
      </c>
      <c r="Q12" s="1834">
        <f t="shared" si="13"/>
        <v>1</v>
      </c>
      <c r="R12" s="1835">
        <f t="shared" si="13"/>
        <v>0.5</v>
      </c>
      <c r="S12" s="1834">
        <f t="shared" si="13"/>
        <v>1</v>
      </c>
      <c r="T12" s="1835">
        <f t="shared" si="13"/>
        <v>0.318</v>
      </c>
      <c r="U12" s="1834">
        <f t="shared" si="13"/>
        <v>0</v>
      </c>
      <c r="V12" s="1835">
        <f t="shared" si="13"/>
        <v>0</v>
      </c>
      <c r="W12" s="1838">
        <f>W11-W10</f>
        <v>-4</v>
      </c>
      <c r="X12" s="1839">
        <f>X11-X10</f>
        <v>-1.6309999999999976</v>
      </c>
      <c r="Y12" s="1834">
        <f>Y11-Y10</f>
        <v>-2</v>
      </c>
      <c r="Z12" s="1835"/>
      <c r="AA12" s="1840">
        <f t="shared" ref="AA12:AI12" si="14">AA11-AA10</f>
        <v>0</v>
      </c>
      <c r="AB12" s="1841">
        <f t="shared" si="14"/>
        <v>1031</v>
      </c>
      <c r="AC12" s="521">
        <f t="shared" si="14"/>
        <v>0</v>
      </c>
      <c r="AD12" s="1221">
        <f t="shared" si="14"/>
        <v>-3</v>
      </c>
      <c r="AE12" s="1222">
        <f t="shared" si="14"/>
        <v>-16.181999999999999</v>
      </c>
      <c r="AF12" s="1223">
        <f>AE12-AG12</f>
        <v>-16.181999999999999</v>
      </c>
      <c r="AG12" s="1223">
        <f t="shared" si="14"/>
        <v>0</v>
      </c>
      <c r="AH12" s="1224">
        <f t="shared" si="14"/>
        <v>0</v>
      </c>
      <c r="AI12" s="1225" t="e">
        <f t="shared" si="14"/>
        <v>#REF!</v>
      </c>
    </row>
    <row r="13" spans="1:40" ht="15.75" customHeight="1">
      <c r="A13" s="499" t="str">
        <f>[1]КРС!A13</f>
        <v>тел. 15 г. план</v>
      </c>
      <c r="B13" s="502">
        <f>[1]КРС!B13</f>
        <v>56</v>
      </c>
      <c r="C13" s="1817">
        <f>[1]КРС!C13</f>
        <v>18.591999999999999</v>
      </c>
      <c r="D13" s="502"/>
      <c r="E13" s="1818"/>
      <c r="F13" s="502"/>
      <c r="G13" s="1819"/>
      <c r="H13" s="500"/>
      <c r="I13" s="1818"/>
      <c r="J13" s="502"/>
      <c r="K13" s="503"/>
      <c r="L13" s="1593">
        <f>[1]КРС!L13+[2]КРС!L13</f>
        <v>4.4450000000000003</v>
      </c>
      <c r="M13" s="502">
        <f>[1]КРС!M13+[2]КРС!M13</f>
        <v>36</v>
      </c>
      <c r="N13" s="1593">
        <f>[1]КРС!N13+[2]КРС!N13</f>
        <v>15.36</v>
      </c>
      <c r="O13" s="502">
        <f>[1]КРС!O13+[2]КРС!O13</f>
        <v>13</v>
      </c>
      <c r="P13" s="1593">
        <f>[1]КРС!P13+[2]КРС!P13</f>
        <v>4.9400000000000004</v>
      </c>
      <c r="Q13" s="1822"/>
      <c r="R13" s="1823"/>
      <c r="S13" s="1820"/>
      <c r="T13" s="1824"/>
      <c r="U13" s="1822"/>
      <c r="V13" s="1824"/>
      <c r="W13" s="500">
        <f>B13+D13+F13+H13+J13-M13-O13-Q13-S13-U13</f>
        <v>7</v>
      </c>
      <c r="X13" s="501">
        <f>C13+E13+G13+I13+K13+L13-N13-P13-R13-T13-V13</f>
        <v>2.7369999999999992</v>
      </c>
      <c r="Y13" s="502">
        <f>(B13+W13)/2</f>
        <v>31.5</v>
      </c>
      <c r="Z13" s="503"/>
      <c r="AA13" s="1256">
        <f>[1]КРС!AA13+[2]КРС!AA13</f>
        <v>9173</v>
      </c>
      <c r="AB13" s="1768">
        <f>[1]КРС!AB13+[2]КРС!AB13</f>
        <v>9173</v>
      </c>
      <c r="AC13" s="504">
        <f>L13*1000000/AA13</f>
        <v>484.57429412405975</v>
      </c>
      <c r="AD13" s="1219">
        <v>3</v>
      </c>
      <c r="AE13" s="506">
        <f>AB13*AD13/1000</f>
        <v>27.518999999999998</v>
      </c>
      <c r="AF13" s="507">
        <f t="shared" ref="AF13:AH14" si="15">K51</f>
        <v>27.518999999999998</v>
      </c>
      <c r="AG13" s="507">
        <f t="shared" si="15"/>
        <v>0</v>
      </c>
      <c r="AH13" s="508">
        <f t="shared" si="15"/>
        <v>0</v>
      </c>
      <c r="AI13" s="509">
        <f>I91</f>
        <v>418.19707000000005</v>
      </c>
      <c r="AJ13" s="472"/>
      <c r="AK13" s="472"/>
      <c r="AL13" s="472"/>
      <c r="AM13" s="472"/>
      <c r="AN13" s="472"/>
    </row>
    <row r="14" spans="1:40" ht="15.75" customHeight="1" outlineLevel="1">
      <c r="A14" s="510" t="s">
        <v>16</v>
      </c>
      <c r="B14" s="2147">
        <v>57</v>
      </c>
      <c r="C14" s="2315">
        <v>21.399000000000001</v>
      </c>
      <c r="D14" s="1825"/>
      <c r="E14" s="512"/>
      <c r="F14" s="1825"/>
      <c r="G14" s="514"/>
      <c r="H14" s="1826"/>
      <c r="I14" s="512"/>
      <c r="J14" s="1825"/>
      <c r="K14" s="514"/>
      <c r="L14" s="2320">
        <v>3.427</v>
      </c>
      <c r="M14" s="2313">
        <f>J11</f>
        <v>39</v>
      </c>
      <c r="N14" s="2314">
        <f>K11</f>
        <v>17.245000000000001</v>
      </c>
      <c r="O14" s="2317">
        <v>13</v>
      </c>
      <c r="P14" s="2319">
        <v>5.2759999999999998</v>
      </c>
      <c r="Q14" s="1830"/>
      <c r="R14" s="1831"/>
      <c r="S14" s="1828"/>
      <c r="T14" s="1832"/>
      <c r="U14" s="1830">
        <v>5</v>
      </c>
      <c r="V14" s="1832">
        <v>2.3050000000000002</v>
      </c>
      <c r="W14" s="511">
        <f>B14+D14+F14+H14+J14-M14-O14-Q14-S14-U14</f>
        <v>0</v>
      </c>
      <c r="X14" s="512">
        <f>C14+E14+G14+I14+K14+L14-N14-P14-R14-T14-V14</f>
        <v>0</v>
      </c>
      <c r="Y14" s="1344">
        <f>(B14+W14)/2</f>
        <v>28.5</v>
      </c>
      <c r="Z14" s="514"/>
      <c r="AA14" s="2321">
        <v>7559</v>
      </c>
      <c r="AB14" s="2321">
        <v>7559</v>
      </c>
      <c r="AC14" s="2088">
        <f>L14*1000000/AA14</f>
        <v>453.36684746659608</v>
      </c>
      <c r="AD14" s="1220">
        <f>AE14/AB14*1000</f>
        <v>0</v>
      </c>
      <c r="AE14" s="516">
        <f>AF14+AG14+AH14</f>
        <v>0</v>
      </c>
      <c r="AF14" s="517">
        <f t="shared" si="15"/>
        <v>0</v>
      </c>
      <c r="AG14" s="517">
        <f t="shared" si="15"/>
        <v>0</v>
      </c>
      <c r="AH14" s="518">
        <f t="shared" si="15"/>
        <v>0</v>
      </c>
      <c r="AI14" s="519" t="e">
        <f>#REF!</f>
        <v>#REF!</v>
      </c>
      <c r="AJ14" s="472"/>
      <c r="AK14" s="472"/>
      <c r="AL14" s="472"/>
      <c r="AM14" s="472"/>
      <c r="AN14" s="472"/>
    </row>
    <row r="15" spans="1:40" s="1597" customFormat="1" ht="15.75" customHeight="1" outlineLevel="1" thickBot="1">
      <c r="A15" s="1596" t="s">
        <v>17</v>
      </c>
      <c r="B15" s="1834">
        <f>B14-B13</f>
        <v>1</v>
      </c>
      <c r="C15" s="1835">
        <f>C14-C13</f>
        <v>2.8070000000000022</v>
      </c>
      <c r="D15" s="1834">
        <f t="shared" ref="D15" si="16">D14-D13</f>
        <v>0</v>
      </c>
      <c r="E15" s="1835">
        <f t="shared" ref="E15" si="17">E14-E13</f>
        <v>0</v>
      </c>
      <c r="F15" s="1834">
        <f t="shared" ref="F15" si="18">F14-F13</f>
        <v>0</v>
      </c>
      <c r="G15" s="1835">
        <f t="shared" ref="G15" si="19">G14-G13</f>
        <v>0</v>
      </c>
      <c r="H15" s="1834">
        <f t="shared" ref="H15" si="20">H14-H13</f>
        <v>0</v>
      </c>
      <c r="I15" s="1835">
        <f t="shared" ref="I15" si="21">I14-I13</f>
        <v>0</v>
      </c>
      <c r="J15" s="1834">
        <f t="shared" ref="J15" si="22">J14-J13</f>
        <v>0</v>
      </c>
      <c r="K15" s="1835">
        <f t="shared" ref="K15:V15" si="23">K14-K13</f>
        <v>0</v>
      </c>
      <c r="L15" s="1844">
        <f t="shared" si="23"/>
        <v>-1.0180000000000002</v>
      </c>
      <c r="M15" s="1834">
        <f t="shared" si="23"/>
        <v>3</v>
      </c>
      <c r="N15" s="1835">
        <f t="shared" si="23"/>
        <v>1.8850000000000016</v>
      </c>
      <c r="O15" s="1834">
        <f t="shared" si="23"/>
        <v>0</v>
      </c>
      <c r="P15" s="1837">
        <f t="shared" si="23"/>
        <v>0.33599999999999941</v>
      </c>
      <c r="Q15" s="1834">
        <f t="shared" si="23"/>
        <v>0</v>
      </c>
      <c r="R15" s="1835">
        <f t="shared" si="23"/>
        <v>0</v>
      </c>
      <c r="S15" s="1834">
        <f t="shared" si="23"/>
        <v>0</v>
      </c>
      <c r="T15" s="1835">
        <f t="shared" si="23"/>
        <v>0</v>
      </c>
      <c r="U15" s="1834">
        <f t="shared" si="23"/>
        <v>5</v>
      </c>
      <c r="V15" s="1835">
        <f t="shared" si="23"/>
        <v>2.3050000000000002</v>
      </c>
      <c r="W15" s="1838">
        <f>W14-W13</f>
        <v>-7</v>
      </c>
      <c r="X15" s="1839">
        <f>X14-X13</f>
        <v>-2.7369999999999992</v>
      </c>
      <c r="Y15" s="1834">
        <f>Y14-Y13</f>
        <v>-3</v>
      </c>
      <c r="Z15" s="1835"/>
      <c r="AA15" s="1840">
        <f t="shared" ref="AA15:AI15" si="24">AA14-AA13</f>
        <v>-1614</v>
      </c>
      <c r="AB15" s="1841">
        <f t="shared" si="24"/>
        <v>-1614</v>
      </c>
      <c r="AC15" s="521">
        <f t="shared" si="24"/>
        <v>-31.207446657463663</v>
      </c>
      <c r="AD15" s="1221">
        <f t="shared" si="24"/>
        <v>-3</v>
      </c>
      <c r="AE15" s="1222">
        <f t="shared" si="24"/>
        <v>-27.518999999999998</v>
      </c>
      <c r="AF15" s="1223">
        <f>AE15-AG15</f>
        <v>-27.518999999999998</v>
      </c>
      <c r="AG15" s="1223">
        <f t="shared" si="24"/>
        <v>0</v>
      </c>
      <c r="AH15" s="1224">
        <f t="shared" si="24"/>
        <v>0</v>
      </c>
      <c r="AI15" s="1225" t="e">
        <f t="shared" si="24"/>
        <v>#REF!</v>
      </c>
    </row>
    <row r="16" spans="1:40" ht="15.75" customHeight="1">
      <c r="A16" s="499" t="str">
        <f>[1]КРС!A16</f>
        <v>быч. 15 г. план</v>
      </c>
      <c r="B16" s="502">
        <f>[1]КРС!B16</f>
        <v>24</v>
      </c>
      <c r="C16" s="1817">
        <f>[1]КРС!C16</f>
        <v>8.3279999999999994</v>
      </c>
      <c r="D16" s="502"/>
      <c r="E16" s="1818"/>
      <c r="F16" s="1820"/>
      <c r="G16" s="1824"/>
      <c r="H16" s="1822"/>
      <c r="I16" s="1845"/>
      <c r="J16" s="1820"/>
      <c r="K16" s="1824"/>
      <c r="L16" s="1593">
        <f>[1]КРС!L16+[2]КРС!L16</f>
        <v>0.79200000000000004</v>
      </c>
      <c r="M16" s="1822"/>
      <c r="N16" s="1845"/>
      <c r="O16" s="502">
        <f>[1]КРС!O16+[2]КРС!O16</f>
        <v>24</v>
      </c>
      <c r="P16" s="1593">
        <f>[1]КРС!P16+[2]КРС!P16</f>
        <v>9.120000000000001</v>
      </c>
      <c r="Q16" s="1822"/>
      <c r="R16" s="1823"/>
      <c r="S16" s="1820"/>
      <c r="T16" s="1824"/>
      <c r="U16" s="1822"/>
      <c r="V16" s="1824"/>
      <c r="W16" s="500">
        <f>B16+D16+F16+H16+J16-M16-O16-Q16-S16-U16</f>
        <v>0</v>
      </c>
      <c r="X16" s="501">
        <f>C16+E16+G16+I16+K16+L16-N16-P16-R16-T16-V16</f>
        <v>-1.7763568394002505E-15</v>
      </c>
      <c r="Y16" s="502">
        <f>(B16+W16)/2</f>
        <v>12</v>
      </c>
      <c r="Z16" s="503"/>
      <c r="AA16" s="1256">
        <f>[1]КРС!AA16+[2]КРС!AA16</f>
        <v>1803</v>
      </c>
      <c r="AB16" s="1768">
        <f>[1]КРС!AB16+[2]КРС!AB16</f>
        <v>1803</v>
      </c>
      <c r="AC16" s="504">
        <f>L16*1000000/AA16</f>
        <v>439.26788685524127</v>
      </c>
      <c r="AD16" s="1219">
        <v>3</v>
      </c>
      <c r="AE16" s="506">
        <f>AB16*AD16/1000</f>
        <v>5.4089999999999998</v>
      </c>
      <c r="AF16" s="507">
        <f t="shared" ref="AF16:AH17" si="25">K54</f>
        <v>5.4089999999999998</v>
      </c>
      <c r="AG16" s="507">
        <f t="shared" si="25"/>
        <v>0</v>
      </c>
      <c r="AH16" s="508">
        <f t="shared" si="25"/>
        <v>0</v>
      </c>
      <c r="AI16" s="509">
        <f>K91</f>
        <v>82.198769999999996</v>
      </c>
      <c r="AJ16" s="472"/>
      <c r="AK16" s="472"/>
      <c r="AL16" s="472"/>
      <c r="AM16" s="472"/>
      <c r="AN16" s="472"/>
    </row>
    <row r="17" spans="1:40" ht="15.75" customHeight="1" outlineLevel="1">
      <c r="A17" s="510" t="s">
        <v>16</v>
      </c>
      <c r="B17" s="2147">
        <v>21</v>
      </c>
      <c r="C17" s="2315">
        <v>7.9459999999999997</v>
      </c>
      <c r="D17" s="1825"/>
      <c r="E17" s="512"/>
      <c r="F17" s="1825"/>
      <c r="G17" s="514"/>
      <c r="H17" s="1826"/>
      <c r="I17" s="512"/>
      <c r="J17" s="1825"/>
      <c r="K17" s="514"/>
      <c r="L17" s="2320">
        <v>0.21</v>
      </c>
      <c r="M17" s="1830"/>
      <c r="N17" s="591"/>
      <c r="O17" s="2317">
        <v>21</v>
      </c>
      <c r="P17" s="2319">
        <v>8.1560000000000006</v>
      </c>
      <c r="Q17" s="1830"/>
      <c r="R17" s="1831"/>
      <c r="S17" s="1828"/>
      <c r="T17" s="1832"/>
      <c r="U17" s="1830"/>
      <c r="V17" s="1832"/>
      <c r="W17" s="511">
        <f>B17+D17+F17+H17+J17-M17-O17-Q17-S17-U17</f>
        <v>0</v>
      </c>
      <c r="X17" s="512">
        <f>C17+E17+G17+I17+K17+L17-N17-P17-R17-T17-V17</f>
        <v>0</v>
      </c>
      <c r="Y17" s="1344">
        <f>(B17+W17)/2</f>
        <v>10.5</v>
      </c>
      <c r="Z17" s="514"/>
      <c r="AA17" s="2321">
        <v>943</v>
      </c>
      <c r="AB17" s="2321">
        <v>943</v>
      </c>
      <c r="AC17" s="2088">
        <f>L17*1000000/AA17</f>
        <v>222.69353128313892</v>
      </c>
      <c r="AD17" s="1220">
        <f>AE17/AB17*1000</f>
        <v>0</v>
      </c>
      <c r="AE17" s="516">
        <f>AF17+AG17+AH17</f>
        <v>0</v>
      </c>
      <c r="AF17" s="517">
        <f t="shared" si="25"/>
        <v>0</v>
      </c>
      <c r="AG17" s="517">
        <f t="shared" si="25"/>
        <v>0</v>
      </c>
      <c r="AH17" s="518">
        <f t="shared" si="25"/>
        <v>0</v>
      </c>
      <c r="AI17" s="519" t="e">
        <f>#REF!</f>
        <v>#REF!</v>
      </c>
      <c r="AJ17" s="472"/>
      <c r="AK17" s="472"/>
      <c r="AL17" s="472"/>
      <c r="AM17" s="472"/>
      <c r="AN17" s="472"/>
    </row>
    <row r="18" spans="1:40" s="1597" customFormat="1" ht="15.75" customHeight="1" outlineLevel="1" thickBot="1">
      <c r="A18" s="1596" t="s">
        <v>17</v>
      </c>
      <c r="B18" s="1834">
        <f>B17-B16</f>
        <v>-3</v>
      </c>
      <c r="C18" s="1835">
        <f>C17-C16</f>
        <v>-0.38199999999999967</v>
      </c>
      <c r="D18" s="1834">
        <f t="shared" ref="D18" si="26">D17-D16</f>
        <v>0</v>
      </c>
      <c r="E18" s="1835">
        <f t="shared" ref="E18" si="27">E17-E16</f>
        <v>0</v>
      </c>
      <c r="F18" s="1834">
        <f t="shared" ref="F18" si="28">F17-F16</f>
        <v>0</v>
      </c>
      <c r="G18" s="1835">
        <f t="shared" ref="G18" si="29">G17-G16</f>
        <v>0</v>
      </c>
      <c r="H18" s="1834">
        <f t="shared" ref="H18" si="30">H17-H16</f>
        <v>0</v>
      </c>
      <c r="I18" s="1835">
        <f t="shared" ref="I18" si="31">I17-I16</f>
        <v>0</v>
      </c>
      <c r="J18" s="1834">
        <f t="shared" ref="J18" si="32">J17-J16</f>
        <v>0</v>
      </c>
      <c r="K18" s="1835">
        <f t="shared" ref="K18:V18" si="33">K17-K16</f>
        <v>0</v>
      </c>
      <c r="L18" s="1844">
        <f t="shared" si="33"/>
        <v>-0.58200000000000007</v>
      </c>
      <c r="M18" s="1834">
        <f t="shared" si="33"/>
        <v>0</v>
      </c>
      <c r="N18" s="1835">
        <f t="shared" si="33"/>
        <v>0</v>
      </c>
      <c r="O18" s="1834">
        <f t="shared" si="33"/>
        <v>-3</v>
      </c>
      <c r="P18" s="1837">
        <f t="shared" si="33"/>
        <v>-0.96400000000000041</v>
      </c>
      <c r="Q18" s="1834">
        <f t="shared" si="33"/>
        <v>0</v>
      </c>
      <c r="R18" s="1835">
        <f t="shared" si="33"/>
        <v>0</v>
      </c>
      <c r="S18" s="1834">
        <f t="shared" si="33"/>
        <v>0</v>
      </c>
      <c r="T18" s="1835">
        <f t="shared" si="33"/>
        <v>0</v>
      </c>
      <c r="U18" s="1834">
        <f t="shared" si="33"/>
        <v>0</v>
      </c>
      <c r="V18" s="1835">
        <f t="shared" si="33"/>
        <v>0</v>
      </c>
      <c r="W18" s="1838">
        <f>W17-W16</f>
        <v>0</v>
      </c>
      <c r="X18" s="1839">
        <f>X17-X16</f>
        <v>1.7763568394002505E-15</v>
      </c>
      <c r="Y18" s="1834">
        <f>Y17-Y16</f>
        <v>-1.5</v>
      </c>
      <c r="Z18" s="1835"/>
      <c r="AA18" s="1840">
        <f t="shared" ref="AA18:AI18" si="34">AA17-AA16</f>
        <v>-860</v>
      </c>
      <c r="AB18" s="1841">
        <f t="shared" si="34"/>
        <v>-860</v>
      </c>
      <c r="AC18" s="521">
        <f t="shared" si="34"/>
        <v>-216.57435557210235</v>
      </c>
      <c r="AD18" s="1221">
        <f t="shared" si="34"/>
        <v>-3</v>
      </c>
      <c r="AE18" s="1222">
        <f t="shared" si="34"/>
        <v>-5.4089999999999998</v>
      </c>
      <c r="AF18" s="1223">
        <f>AE18-AG18</f>
        <v>-5.4089999999999998</v>
      </c>
      <c r="AG18" s="1223">
        <f t="shared" si="34"/>
        <v>0</v>
      </c>
      <c r="AH18" s="1224">
        <f t="shared" si="34"/>
        <v>0</v>
      </c>
      <c r="AI18" s="1225" t="e">
        <f t="shared" si="34"/>
        <v>#REF!</v>
      </c>
    </row>
    <row r="19" spans="1:40" s="526" customFormat="1" ht="15.75" customHeight="1">
      <c r="A19" s="499" t="str">
        <f>[1]КРС!A19</f>
        <v>тел. 16 г. план</v>
      </c>
      <c r="B19" s="502">
        <f>[1]КРС!B19</f>
        <v>49</v>
      </c>
      <c r="C19" s="1817">
        <f>[1]КРС!C19</f>
        <v>5.6349999999999998</v>
      </c>
      <c r="D19" s="1820"/>
      <c r="E19" s="1845"/>
      <c r="F19" s="1820"/>
      <c r="G19" s="1824"/>
      <c r="H19" s="1846"/>
      <c r="I19" s="1845"/>
      <c r="J19" s="1820"/>
      <c r="K19" s="1824"/>
      <c r="L19" s="1593">
        <f>[1]КРС!L19+[2]КРС!L19</f>
        <v>10.805999999999999</v>
      </c>
      <c r="M19" s="1822"/>
      <c r="N19" s="1845"/>
      <c r="O19" s="502">
        <f>[1]КРС!O19+[2]КРС!O19</f>
        <v>5</v>
      </c>
      <c r="P19" s="1593">
        <f>[1]КРС!P19+[2]КРС!P19</f>
        <v>1.9</v>
      </c>
      <c r="Q19" s="1822"/>
      <c r="R19" s="1823"/>
      <c r="S19" s="1820"/>
      <c r="T19" s="1824"/>
      <c r="U19" s="1822"/>
      <c r="V19" s="1824"/>
      <c r="W19" s="500">
        <f>B19+D19+F19+H19+J19-M19-O19-Q19-S19-U19</f>
        <v>44</v>
      </c>
      <c r="X19" s="501">
        <f>C19+E19+G19+I19+K19+L19-N19-P19-R19-T19-V19</f>
        <v>14.540999999999999</v>
      </c>
      <c r="Y19" s="502">
        <f>(B19+W19)/2</f>
        <v>46.5</v>
      </c>
      <c r="Z19" s="503"/>
      <c r="AA19" s="1256">
        <f>[1]КРС!AA19+[2]КРС!AA19</f>
        <v>14666</v>
      </c>
      <c r="AB19" s="1768">
        <f>[1]КРС!AB19+[2]КРС!AB19</f>
        <v>14666</v>
      </c>
      <c r="AC19" s="1847">
        <f>L19*1000000/AA19</f>
        <v>736.80621846447571</v>
      </c>
      <c r="AD19" s="1219">
        <v>2.5</v>
      </c>
      <c r="AE19" s="506">
        <f>AB19*AD19/1000</f>
        <v>36.664999999999999</v>
      </c>
      <c r="AF19" s="507">
        <f t="shared" ref="AF19:AH20" si="35">K57</f>
        <v>36.664999999999999</v>
      </c>
      <c r="AG19" s="507">
        <f t="shared" si="35"/>
        <v>0</v>
      </c>
      <c r="AH19" s="508">
        <f t="shared" si="35"/>
        <v>0</v>
      </c>
      <c r="AI19" s="509">
        <f>M91</f>
        <v>488.08447999999999</v>
      </c>
    </row>
    <row r="20" spans="1:40" s="526" customFormat="1" ht="15.75" customHeight="1" outlineLevel="1">
      <c r="A20" s="527" t="s">
        <v>16</v>
      </c>
      <c r="B20" s="2147">
        <v>51</v>
      </c>
      <c r="C20" s="2315">
        <v>8.3550000000000004</v>
      </c>
      <c r="D20" s="1828"/>
      <c r="E20" s="591"/>
      <c r="F20" s="1828"/>
      <c r="G20" s="1832"/>
      <c r="H20" s="1848"/>
      <c r="I20" s="591"/>
      <c r="J20" s="1828"/>
      <c r="K20" s="1832"/>
      <c r="L20" s="2320">
        <v>8.6910000000000007</v>
      </c>
      <c r="M20" s="1830"/>
      <c r="N20" s="591"/>
      <c r="O20" s="2317">
        <v>1</v>
      </c>
      <c r="P20" s="2319">
        <v>0.192</v>
      </c>
      <c r="Q20" s="1830"/>
      <c r="R20" s="1831"/>
      <c r="S20" s="1828"/>
      <c r="T20" s="1832"/>
      <c r="U20" s="2313">
        <v>50</v>
      </c>
      <c r="V20" s="2318">
        <v>16.853999999999999</v>
      </c>
      <c r="W20" s="511">
        <f>B20+D20+F20+H20+J20-M20-O20-Q20-S20-U20</f>
        <v>0</v>
      </c>
      <c r="X20" s="512">
        <f>C20+E20+G20+I20+K20+L20-N20-P20-R20-T20-V20</f>
        <v>0</v>
      </c>
      <c r="Y20" s="1344">
        <f>(B20+W20)/2</f>
        <v>25.5</v>
      </c>
      <c r="Z20" s="514"/>
      <c r="AA20" s="2321">
        <v>18368</v>
      </c>
      <c r="AB20" s="2321">
        <v>18368</v>
      </c>
      <c r="AC20" s="1849">
        <f>L20*1000000/AA20</f>
        <v>473.15984320557493</v>
      </c>
      <c r="AD20" s="1220">
        <f>AE20/AB20*1000</f>
        <v>0</v>
      </c>
      <c r="AE20" s="516">
        <f>AF20+AG20+AH20</f>
        <v>0</v>
      </c>
      <c r="AF20" s="1227">
        <f t="shared" si="35"/>
        <v>0</v>
      </c>
      <c r="AG20" s="1227">
        <f t="shared" si="35"/>
        <v>0</v>
      </c>
      <c r="AH20" s="1228">
        <f t="shared" si="35"/>
        <v>0</v>
      </c>
      <c r="AI20" s="524" t="e">
        <f>#REF!</f>
        <v>#REF!</v>
      </c>
    </row>
    <row r="21" spans="1:40" s="1597" customFormat="1" ht="15.75" customHeight="1" outlineLevel="1" thickBot="1">
      <c r="A21" s="1596" t="s">
        <v>17</v>
      </c>
      <c r="B21" s="1834">
        <f>B20-B19</f>
        <v>2</v>
      </c>
      <c r="C21" s="1835">
        <f>C20-C19</f>
        <v>2.7200000000000006</v>
      </c>
      <c r="D21" s="1834">
        <f t="shared" ref="D21" si="36">D20-D19</f>
        <v>0</v>
      </c>
      <c r="E21" s="1835">
        <f t="shared" ref="E21" si="37">E20-E19</f>
        <v>0</v>
      </c>
      <c r="F21" s="1834">
        <f t="shared" ref="F21" si="38">F20-F19</f>
        <v>0</v>
      </c>
      <c r="G21" s="1835">
        <f t="shared" ref="G21" si="39">G20-G19</f>
        <v>0</v>
      </c>
      <c r="H21" s="1834">
        <f t="shared" ref="H21" si="40">H20-H19</f>
        <v>0</v>
      </c>
      <c r="I21" s="1835">
        <f t="shared" ref="I21" si="41">I20-I19</f>
        <v>0</v>
      </c>
      <c r="J21" s="1834">
        <f t="shared" ref="J21" si="42">J20-J19</f>
        <v>0</v>
      </c>
      <c r="K21" s="1835">
        <f t="shared" ref="K21:V21" si="43">K20-K19</f>
        <v>0</v>
      </c>
      <c r="L21" s="1844">
        <f t="shared" si="43"/>
        <v>-2.1149999999999984</v>
      </c>
      <c r="M21" s="1834">
        <f t="shared" si="43"/>
        <v>0</v>
      </c>
      <c r="N21" s="1835">
        <f t="shared" si="43"/>
        <v>0</v>
      </c>
      <c r="O21" s="1834">
        <f t="shared" si="43"/>
        <v>-4</v>
      </c>
      <c r="P21" s="1837">
        <f t="shared" si="43"/>
        <v>-1.708</v>
      </c>
      <c r="Q21" s="1834">
        <f t="shared" si="43"/>
        <v>0</v>
      </c>
      <c r="R21" s="1835">
        <f t="shared" si="43"/>
        <v>0</v>
      </c>
      <c r="S21" s="1834">
        <f t="shared" si="43"/>
        <v>0</v>
      </c>
      <c r="T21" s="1835">
        <f t="shared" si="43"/>
        <v>0</v>
      </c>
      <c r="U21" s="1834">
        <f t="shared" si="43"/>
        <v>50</v>
      </c>
      <c r="V21" s="1835">
        <f t="shared" si="43"/>
        <v>16.853999999999999</v>
      </c>
      <c r="W21" s="1838">
        <f>W20-W19</f>
        <v>-44</v>
      </c>
      <c r="X21" s="1839">
        <f>X20-X19</f>
        <v>-14.540999999999999</v>
      </c>
      <c r="Y21" s="1834">
        <f>Y20-Y19</f>
        <v>-21</v>
      </c>
      <c r="Z21" s="1835"/>
      <c r="AA21" s="1840">
        <f t="shared" ref="AA21:AI21" si="44">AA20-AA19</f>
        <v>3702</v>
      </c>
      <c r="AB21" s="1841">
        <f t="shared" si="44"/>
        <v>3702</v>
      </c>
      <c r="AC21" s="521">
        <f t="shared" si="44"/>
        <v>-263.64637525890078</v>
      </c>
      <c r="AD21" s="1221">
        <f t="shared" si="44"/>
        <v>-2.5</v>
      </c>
      <c r="AE21" s="1222">
        <f t="shared" si="44"/>
        <v>-36.664999999999999</v>
      </c>
      <c r="AF21" s="1223">
        <f>AE21-AG21</f>
        <v>-36.664999999999999</v>
      </c>
      <c r="AG21" s="1223">
        <f t="shared" si="44"/>
        <v>0</v>
      </c>
      <c r="AH21" s="1224">
        <f t="shared" si="44"/>
        <v>0</v>
      </c>
      <c r="AI21" s="1225" t="e">
        <f t="shared" si="44"/>
        <v>#REF!</v>
      </c>
    </row>
    <row r="22" spans="1:40" s="526" customFormat="1" ht="15.75" customHeight="1">
      <c r="A22" s="499" t="str">
        <f>[1]КРС!A22</f>
        <v>быч. 16 г. план</v>
      </c>
      <c r="B22" s="502">
        <f>[1]КРС!B22</f>
        <v>61</v>
      </c>
      <c r="C22" s="1817">
        <f>[1]КРС!C22</f>
        <v>8.2959999999999994</v>
      </c>
      <c r="D22" s="1820"/>
      <c r="E22" s="1845"/>
      <c r="F22" s="1820"/>
      <c r="G22" s="508"/>
      <c r="H22" s="1850"/>
      <c r="I22" s="1851"/>
      <c r="J22" s="1820"/>
      <c r="K22" s="1824"/>
      <c r="L22" s="1593">
        <f>[1]КРС!L22+[2]КРС!L22</f>
        <v>12.500000000000002</v>
      </c>
      <c r="M22" s="1822"/>
      <c r="N22" s="1845"/>
      <c r="O22" s="502">
        <f>[1]КРС!O22+[2]КРС!O22</f>
        <v>26</v>
      </c>
      <c r="P22" s="1593">
        <f>[1]КРС!P22+[2]КРС!P22</f>
        <v>9.8800000000000008</v>
      </c>
      <c r="Q22" s="1822"/>
      <c r="R22" s="1823"/>
      <c r="S22" s="1820"/>
      <c r="T22" s="1824"/>
      <c r="U22" s="1822"/>
      <c r="V22" s="1824"/>
      <c r="W22" s="500">
        <f>B22+D22+F22+H22+J22-M22-O22-Q22-S22-U22</f>
        <v>35</v>
      </c>
      <c r="X22" s="501">
        <f>C22+E22+G22+I22+K22+L22-N22-P22-R22-T22-V22</f>
        <v>10.915999999999999</v>
      </c>
      <c r="Y22" s="502">
        <f>(B22+W22)/2</f>
        <v>48</v>
      </c>
      <c r="Z22" s="503"/>
      <c r="AA22" s="1256">
        <f>[1]КРС!AA22+[2]КРС!AA22</f>
        <v>16550</v>
      </c>
      <c r="AB22" s="1768">
        <f>[1]КРС!AB22+[2]КРС!AB22</f>
        <v>16550</v>
      </c>
      <c r="AC22" s="1847">
        <f>L22*1000000/AA22</f>
        <v>755.2870090634442</v>
      </c>
      <c r="AD22" s="1219">
        <v>2.5</v>
      </c>
      <c r="AE22" s="506">
        <f>AB22*AD22/1000</f>
        <v>41.375</v>
      </c>
      <c r="AF22" s="507">
        <f>K60</f>
        <v>41.375</v>
      </c>
      <c r="AG22" s="507">
        <f>L60</f>
        <v>0</v>
      </c>
      <c r="AH22" s="508">
        <f>M51</f>
        <v>0</v>
      </c>
      <c r="AI22" s="509">
        <f>O91</f>
        <v>550.78399999999988</v>
      </c>
    </row>
    <row r="23" spans="1:40" s="526" customFormat="1" ht="15.75" customHeight="1" outlineLevel="1">
      <c r="A23" s="527" t="s">
        <v>16</v>
      </c>
      <c r="B23" s="2147">
        <v>71</v>
      </c>
      <c r="C23" s="2315">
        <v>12.497999999999999</v>
      </c>
      <c r="D23" s="1852"/>
      <c r="E23" s="591"/>
      <c r="F23" s="1852"/>
      <c r="G23" s="1832"/>
      <c r="H23" s="1848"/>
      <c r="I23" s="591"/>
      <c r="J23" s="1852"/>
      <c r="K23" s="1832"/>
      <c r="L23" s="2320">
        <v>10.486000000000001</v>
      </c>
      <c r="M23" s="1830"/>
      <c r="N23" s="1831"/>
      <c r="O23" s="2317">
        <v>25</v>
      </c>
      <c r="P23" s="2319">
        <v>8.6660000000000004</v>
      </c>
      <c r="Q23" s="1830"/>
      <c r="R23" s="1831"/>
      <c r="S23" s="1828"/>
      <c r="T23" s="1832"/>
      <c r="U23" s="2313">
        <v>46</v>
      </c>
      <c r="V23" s="2318">
        <v>14.318</v>
      </c>
      <c r="W23" s="511">
        <f>B23+D23+F23+H23+J23-M23-O23-Q23-S23-U23</f>
        <v>0</v>
      </c>
      <c r="X23" s="512">
        <f>C23+E23+G23+I23+K23+L23-N23-P23-R23-T23-V23</f>
        <v>0</v>
      </c>
      <c r="Y23" s="1344">
        <f>(B23+W23)/2</f>
        <v>35.5</v>
      </c>
      <c r="Z23" s="514"/>
      <c r="AA23" s="2321">
        <v>20927</v>
      </c>
      <c r="AB23" s="2321">
        <v>20927</v>
      </c>
      <c r="AC23" s="1849">
        <f>L23*1000000/AA23</f>
        <v>501.0751660534238</v>
      </c>
      <c r="AD23" s="1220">
        <f>AE23/AB23*1000</f>
        <v>0</v>
      </c>
      <c r="AE23" s="516">
        <f>AF23+AG23+AH23</f>
        <v>0</v>
      </c>
      <c r="AF23" s="1227">
        <f>K61</f>
        <v>0</v>
      </c>
      <c r="AG23" s="1227">
        <f>L61</f>
        <v>0</v>
      </c>
      <c r="AH23" s="1228">
        <f>M61</f>
        <v>0</v>
      </c>
      <c r="AI23" s="524" t="e">
        <f>#REF!</f>
        <v>#REF!</v>
      </c>
    </row>
    <row r="24" spans="1:40" s="1597" customFormat="1" ht="15.75" customHeight="1" outlineLevel="1" thickBot="1">
      <c r="A24" s="1596" t="s">
        <v>17</v>
      </c>
      <c r="B24" s="1834">
        <f>B23-B22</f>
        <v>10</v>
      </c>
      <c r="C24" s="1835">
        <f>C23-C22</f>
        <v>4.202</v>
      </c>
      <c r="D24" s="1834">
        <f t="shared" ref="D24" si="45">D23-D22</f>
        <v>0</v>
      </c>
      <c r="E24" s="1835">
        <f t="shared" ref="E24" si="46">E23-E22</f>
        <v>0</v>
      </c>
      <c r="F24" s="1834">
        <f t="shared" ref="F24" si="47">F23-F22</f>
        <v>0</v>
      </c>
      <c r="G24" s="1835">
        <f t="shared" ref="G24" si="48">G23-G22</f>
        <v>0</v>
      </c>
      <c r="H24" s="1834">
        <f t="shared" ref="H24" si="49">H23-H22</f>
        <v>0</v>
      </c>
      <c r="I24" s="1835">
        <f t="shared" ref="I24" si="50">I23-I22</f>
        <v>0</v>
      </c>
      <c r="J24" s="1834">
        <f t="shared" ref="J24" si="51">J23-J22</f>
        <v>0</v>
      </c>
      <c r="K24" s="1835">
        <f t="shared" ref="K24:V24" si="52">K23-K22</f>
        <v>0</v>
      </c>
      <c r="L24" s="1844">
        <f t="shared" si="52"/>
        <v>-2.0140000000000011</v>
      </c>
      <c r="M24" s="1834">
        <f t="shared" si="52"/>
        <v>0</v>
      </c>
      <c r="N24" s="1835">
        <f t="shared" si="52"/>
        <v>0</v>
      </c>
      <c r="O24" s="1834">
        <f t="shared" si="52"/>
        <v>-1</v>
      </c>
      <c r="P24" s="1837">
        <f t="shared" si="52"/>
        <v>-1.2140000000000004</v>
      </c>
      <c r="Q24" s="1834">
        <f t="shared" si="52"/>
        <v>0</v>
      </c>
      <c r="R24" s="1835">
        <f t="shared" si="52"/>
        <v>0</v>
      </c>
      <c r="S24" s="1834">
        <f t="shared" si="52"/>
        <v>0</v>
      </c>
      <c r="T24" s="1835">
        <f t="shared" si="52"/>
        <v>0</v>
      </c>
      <c r="U24" s="1834">
        <f t="shared" si="52"/>
        <v>46</v>
      </c>
      <c r="V24" s="1835">
        <f t="shared" si="52"/>
        <v>14.318</v>
      </c>
      <c r="W24" s="1838">
        <f>W23-W22</f>
        <v>-35</v>
      </c>
      <c r="X24" s="1839">
        <f>X23-X22</f>
        <v>-10.915999999999999</v>
      </c>
      <c r="Y24" s="1834">
        <f>Y23-Y22</f>
        <v>-12.5</v>
      </c>
      <c r="Z24" s="1835"/>
      <c r="AA24" s="1840">
        <f t="shared" ref="AA24:AI24" si="53">AA23-AA22</f>
        <v>4377</v>
      </c>
      <c r="AB24" s="1841">
        <f t="shared" si="53"/>
        <v>4377</v>
      </c>
      <c r="AC24" s="521">
        <f t="shared" si="53"/>
        <v>-254.2118430100204</v>
      </c>
      <c r="AD24" s="1221">
        <f t="shared" si="53"/>
        <v>-2.5</v>
      </c>
      <c r="AE24" s="1222">
        <f t="shared" si="53"/>
        <v>-41.375</v>
      </c>
      <c r="AF24" s="1223">
        <f>AE24-AG24</f>
        <v>-41.375</v>
      </c>
      <c r="AG24" s="1223">
        <f t="shared" si="53"/>
        <v>0</v>
      </c>
      <c r="AH24" s="1224">
        <f t="shared" si="53"/>
        <v>0</v>
      </c>
      <c r="AI24" s="1225" t="e">
        <f t="shared" si="53"/>
        <v>#REF!</v>
      </c>
    </row>
    <row r="25" spans="1:40" s="526" customFormat="1" ht="15.75" customHeight="1">
      <c r="A25" s="499" t="str">
        <f>[1]КРС!A25</f>
        <v>тел. 17 г. план</v>
      </c>
      <c r="B25" s="502">
        <f>[1]КРС!B25</f>
        <v>0</v>
      </c>
      <c r="C25" s="1817">
        <f>[1]КРС!C25</f>
        <v>0</v>
      </c>
      <c r="D25" s="502">
        <f>[1]КРС!D25</f>
        <v>54</v>
      </c>
      <c r="E25" s="503">
        <f>[1]КРС!E25</f>
        <v>1.62</v>
      </c>
      <c r="F25" s="1820"/>
      <c r="G25" s="1824"/>
      <c r="H25" s="1846"/>
      <c r="I25" s="1845"/>
      <c r="J25" s="1820"/>
      <c r="K25" s="1824"/>
      <c r="L25" s="1593">
        <f>[1]КРС!L25+[2]КРС!L25</f>
        <v>4.7084999999999999</v>
      </c>
      <c r="M25" s="1822"/>
      <c r="N25" s="1845"/>
      <c r="O25" s="1820"/>
      <c r="P25" s="1821"/>
      <c r="Q25" s="1822"/>
      <c r="R25" s="1823"/>
      <c r="S25" s="502">
        <f>[1]КРС!S25+[2]КРС!S25</f>
        <v>3</v>
      </c>
      <c r="T25" s="1593">
        <f>[1]КРС!T25+[2]КРС!T25</f>
        <v>0.09</v>
      </c>
      <c r="U25" s="1822"/>
      <c r="V25" s="1824"/>
      <c r="W25" s="500">
        <f>B25+D25+F25+H25+J25-M25-O25-Q25-S25-U25</f>
        <v>51</v>
      </c>
      <c r="X25" s="501">
        <f>C25+E25+G25+I25+K25+L25-N25-P25-R25-T25-V25</f>
        <v>6.2385000000000002</v>
      </c>
      <c r="Y25" s="502">
        <f>(B25+W25)/2</f>
        <v>25.5</v>
      </c>
      <c r="Z25" s="503"/>
      <c r="AA25" s="1256">
        <f>[1]КРС!AA25+[2]КРС!AA25</f>
        <v>7250.5</v>
      </c>
      <c r="AB25" s="1768">
        <f>[1]КРС!AB25+[2]КРС!AB25</f>
        <v>7250.5</v>
      </c>
      <c r="AC25" s="1847">
        <f>L25*1000000/AA25</f>
        <v>649.40348941452316</v>
      </c>
      <c r="AD25" s="1219">
        <v>0.5</v>
      </c>
      <c r="AE25" s="506">
        <f>AB25*AD25/1000</f>
        <v>3.6252499999999999</v>
      </c>
      <c r="AF25" s="507">
        <f>K63</f>
        <v>3.6252499999999999</v>
      </c>
      <c r="AG25" s="507">
        <f>L67</f>
        <v>0</v>
      </c>
      <c r="AH25" s="508">
        <f>M67</f>
        <v>0</v>
      </c>
      <c r="AI25" s="509" t="e">
        <f>#REF!</f>
        <v>#REF!</v>
      </c>
    </row>
    <row r="26" spans="1:40" s="526" customFormat="1" ht="15.75" customHeight="1" outlineLevel="1">
      <c r="A26" s="527" t="s">
        <v>16</v>
      </c>
      <c r="B26" s="513"/>
      <c r="C26" s="514"/>
      <c r="D26" s="2317">
        <v>64</v>
      </c>
      <c r="E26" s="2322">
        <v>1.8069999999999999</v>
      </c>
      <c r="F26" s="1828"/>
      <c r="G26" s="1832"/>
      <c r="H26" s="1848"/>
      <c r="I26" s="591"/>
      <c r="J26" s="1828"/>
      <c r="K26" s="1832"/>
      <c r="L26" s="2320">
        <v>6.1120000000000001</v>
      </c>
      <c r="M26" s="1830"/>
      <c r="N26" s="591"/>
      <c r="O26" s="1828"/>
      <c r="P26" s="1829"/>
      <c r="Q26" s="1830"/>
      <c r="R26" s="1831"/>
      <c r="S26" s="2323">
        <v>7</v>
      </c>
      <c r="T26" s="2324">
        <v>0.21099999999999999</v>
      </c>
      <c r="U26" s="2313">
        <v>57</v>
      </c>
      <c r="V26" s="2318">
        <v>7.7080000000000002</v>
      </c>
      <c r="W26" s="511">
        <f>B26+D26+F26+H26+J26-M26-O26-Q26-S26-U26</f>
        <v>0</v>
      </c>
      <c r="X26" s="512">
        <f>C26+E26+G26+I26+K26+L26-N26-P26-R26-T26-V26</f>
        <v>0</v>
      </c>
      <c r="Y26" s="1344">
        <f>(B26+W26)/2</f>
        <v>0</v>
      </c>
      <c r="Z26" s="514"/>
      <c r="AA26" s="2321">
        <v>11421</v>
      </c>
      <c r="AB26" s="2321">
        <v>11421</v>
      </c>
      <c r="AC26" s="1849">
        <f>L26*1000000/AA26</f>
        <v>535.15453988267222</v>
      </c>
      <c r="AD26" s="1220">
        <f>AE26/AB26*1000</f>
        <v>0</v>
      </c>
      <c r="AE26" s="516">
        <f>AF26+AG26+AH26</f>
        <v>0</v>
      </c>
      <c r="AF26" s="1227">
        <f>K68</f>
        <v>0</v>
      </c>
      <c r="AG26" s="1227">
        <f>L68</f>
        <v>0</v>
      </c>
      <c r="AH26" s="1228">
        <f>M68</f>
        <v>0</v>
      </c>
      <c r="AI26" s="524" t="e">
        <f>#REF!</f>
        <v>#REF!</v>
      </c>
    </row>
    <row r="27" spans="1:40" s="1597" customFormat="1" ht="15.75" customHeight="1" outlineLevel="1" thickBot="1">
      <c r="A27" s="1596" t="s">
        <v>17</v>
      </c>
      <c r="B27" s="1834">
        <f>B26-B25</f>
        <v>0</v>
      </c>
      <c r="C27" s="1835">
        <f>C26-C25</f>
        <v>0</v>
      </c>
      <c r="D27" s="1834">
        <f t="shared" ref="D27" si="54">D26-D25</f>
        <v>10</v>
      </c>
      <c r="E27" s="1835">
        <f t="shared" ref="E27" si="55">E26-E25</f>
        <v>0.18699999999999983</v>
      </c>
      <c r="F27" s="1834">
        <f t="shared" ref="F27" si="56">F26-F25</f>
        <v>0</v>
      </c>
      <c r="G27" s="1835">
        <f t="shared" ref="G27" si="57">G26-G25</f>
        <v>0</v>
      </c>
      <c r="H27" s="1834">
        <f t="shared" ref="H27" si="58">H26-H25</f>
        <v>0</v>
      </c>
      <c r="I27" s="1835">
        <f t="shared" ref="I27" si="59">I26-I25</f>
        <v>0</v>
      </c>
      <c r="J27" s="1834">
        <f t="shared" ref="J27" si="60">J26-J25</f>
        <v>0</v>
      </c>
      <c r="K27" s="1835">
        <f t="shared" ref="K27:V27" si="61">K26-K25</f>
        <v>0</v>
      </c>
      <c r="L27" s="1844">
        <f t="shared" si="61"/>
        <v>1.4035000000000002</v>
      </c>
      <c r="M27" s="1834">
        <f t="shared" si="61"/>
        <v>0</v>
      </c>
      <c r="N27" s="1835">
        <f t="shared" si="61"/>
        <v>0</v>
      </c>
      <c r="O27" s="1834">
        <f t="shared" si="61"/>
        <v>0</v>
      </c>
      <c r="P27" s="1837">
        <f t="shared" si="61"/>
        <v>0</v>
      </c>
      <c r="Q27" s="1834">
        <f t="shared" si="61"/>
        <v>0</v>
      </c>
      <c r="R27" s="1835">
        <f t="shared" si="61"/>
        <v>0</v>
      </c>
      <c r="S27" s="1834">
        <f t="shared" si="61"/>
        <v>4</v>
      </c>
      <c r="T27" s="1835">
        <f t="shared" si="61"/>
        <v>0.121</v>
      </c>
      <c r="U27" s="1834">
        <f t="shared" si="61"/>
        <v>57</v>
      </c>
      <c r="V27" s="1835">
        <f t="shared" si="61"/>
        <v>7.7080000000000002</v>
      </c>
      <c r="W27" s="1838">
        <f>W26-W25</f>
        <v>-51</v>
      </c>
      <c r="X27" s="1839">
        <f>X26-X25</f>
        <v>-6.2385000000000002</v>
      </c>
      <c r="Y27" s="1834">
        <f>Y26-Y25</f>
        <v>-25.5</v>
      </c>
      <c r="Z27" s="1835"/>
      <c r="AA27" s="1840">
        <f t="shared" ref="AA27:AI27" si="62">AA26-AA25</f>
        <v>4170.5</v>
      </c>
      <c r="AB27" s="1841">
        <f t="shared" si="62"/>
        <v>4170.5</v>
      </c>
      <c r="AC27" s="521">
        <f t="shared" si="62"/>
        <v>-114.24894953185094</v>
      </c>
      <c r="AD27" s="1221">
        <f t="shared" si="62"/>
        <v>-0.5</v>
      </c>
      <c r="AE27" s="1222">
        <f t="shared" si="62"/>
        <v>-3.6252499999999999</v>
      </c>
      <c r="AF27" s="1223">
        <f>AE27-AG27</f>
        <v>-3.6252499999999999</v>
      </c>
      <c r="AG27" s="1223">
        <f t="shared" si="62"/>
        <v>0</v>
      </c>
      <c r="AH27" s="1224">
        <f t="shared" si="62"/>
        <v>0</v>
      </c>
      <c r="AI27" s="1225" t="e">
        <f t="shared" si="62"/>
        <v>#REF!</v>
      </c>
    </row>
    <row r="28" spans="1:40" s="526" customFormat="1" ht="15.75" customHeight="1">
      <c r="A28" s="499" t="str">
        <f>[1]КРС!A28</f>
        <v>быч. 17 г. план</v>
      </c>
      <c r="B28" s="502">
        <f>[1]КРС!B28</f>
        <v>0</v>
      </c>
      <c r="C28" s="1817">
        <f>[1]КРС!C28</f>
        <v>0</v>
      </c>
      <c r="D28" s="502">
        <f>[1]КРС!D28</f>
        <v>55</v>
      </c>
      <c r="E28" s="503">
        <f>[1]КРС!E28</f>
        <v>1.65</v>
      </c>
      <c r="F28" s="1820"/>
      <c r="G28" s="508"/>
      <c r="H28" s="1850"/>
      <c r="I28" s="1851"/>
      <c r="J28" s="1820"/>
      <c r="K28" s="1824"/>
      <c r="L28" s="1593">
        <f>[1]КРС!L28+[2]КРС!L28</f>
        <v>5.3219999999999992</v>
      </c>
      <c r="M28" s="1822"/>
      <c r="N28" s="1845"/>
      <c r="O28" s="1820"/>
      <c r="P28" s="1821"/>
      <c r="Q28" s="1822"/>
      <c r="R28" s="1823"/>
      <c r="S28" s="502">
        <f>[1]КРС!S28+[2]КРС!S28</f>
        <v>2</v>
      </c>
      <c r="T28" s="1593">
        <f>[1]КРС!T28+[2]КРС!T28</f>
        <v>0.06</v>
      </c>
      <c r="U28" s="1822"/>
      <c r="V28" s="1824"/>
      <c r="W28" s="500">
        <f>B28+D28+F28+H28+J28-M28-O28-Q28-S28-U28</f>
        <v>53</v>
      </c>
      <c r="X28" s="501">
        <f>C28+E28+G28+I28+K28+L28-N28-P28-R28-T28-V28</f>
        <v>6.9119999999999999</v>
      </c>
      <c r="Y28" s="502">
        <f>(B28+W28)/2</f>
        <v>26.5</v>
      </c>
      <c r="Z28" s="503"/>
      <c r="AA28" s="1256">
        <f>[1]КРС!AA28+[2]КРС!AA28</f>
        <v>7327</v>
      </c>
      <c r="AB28" s="1768">
        <f>[1]КРС!AB28+[2]КРС!AB28</f>
        <v>7327</v>
      </c>
      <c r="AC28" s="1847">
        <f>L28*1000000/AA28</f>
        <v>726.35457895455158</v>
      </c>
      <c r="AD28" s="1219">
        <v>0.5</v>
      </c>
      <c r="AE28" s="506">
        <f>AB28*AD28/1000</f>
        <v>3.6635</v>
      </c>
      <c r="AF28" s="507">
        <f>K66</f>
        <v>3.6635</v>
      </c>
      <c r="AG28" s="507">
        <f>L70</f>
        <v>0</v>
      </c>
      <c r="AH28" s="508">
        <f>M57</f>
        <v>0</v>
      </c>
      <c r="AI28" s="509" t="e">
        <f>#REF!</f>
        <v>#REF!</v>
      </c>
    </row>
    <row r="29" spans="1:40" s="526" customFormat="1" ht="15.75" customHeight="1" outlineLevel="1">
      <c r="A29" s="527" t="s">
        <v>16</v>
      </c>
      <c r="B29" s="513"/>
      <c r="C29" s="514"/>
      <c r="D29" s="2317">
        <v>69</v>
      </c>
      <c r="E29" s="2314">
        <v>2.0489999999999999</v>
      </c>
      <c r="F29" s="1828"/>
      <c r="G29" s="1832"/>
      <c r="H29" s="1848"/>
      <c r="I29" s="591"/>
      <c r="J29" s="1828"/>
      <c r="K29" s="1832"/>
      <c r="L29" s="2320">
        <v>6.18</v>
      </c>
      <c r="M29" s="1830"/>
      <c r="N29" s="591"/>
      <c r="O29" s="2317">
        <v>4</v>
      </c>
      <c r="P29" s="2319">
        <v>0.26200000000000001</v>
      </c>
      <c r="Q29" s="1830"/>
      <c r="R29" s="1831"/>
      <c r="S29" s="2317">
        <v>9</v>
      </c>
      <c r="T29" s="2318">
        <v>0.25900000000000001</v>
      </c>
      <c r="U29" s="2313">
        <v>56</v>
      </c>
      <c r="V29" s="2318">
        <v>7.7080000000000002</v>
      </c>
      <c r="W29" s="511">
        <f>B29+D29+F29+H29+J29-M29-O29-Q29-S29-U29</f>
        <v>0</v>
      </c>
      <c r="X29" s="512">
        <f>C29+E29+G29+I29+K29+L29-N29-P29-R29-T29-V29</f>
        <v>0</v>
      </c>
      <c r="Y29" s="1344">
        <f>(B29+W29)/2</f>
        <v>0</v>
      </c>
      <c r="Z29" s="514"/>
      <c r="AA29" s="1833">
        <v>11680</v>
      </c>
      <c r="AB29" s="1833">
        <v>11680</v>
      </c>
      <c r="AC29" s="1849">
        <f>L29*1000000/AA29</f>
        <v>529.10958904109589</v>
      </c>
      <c r="AD29" s="1220">
        <f>AE29/AB29*1000</f>
        <v>215.00368150684935</v>
      </c>
      <c r="AE29" s="516">
        <f>AF29+AG29+AH29</f>
        <v>2511.2430000000004</v>
      </c>
      <c r="AF29" s="1227">
        <f>K71</f>
        <v>30.457999999999998</v>
      </c>
      <c r="AG29" s="1227">
        <f>L71</f>
        <v>1299.03</v>
      </c>
      <c r="AH29" s="1228">
        <f>M71</f>
        <v>1181.7550000000001</v>
      </c>
      <c r="AI29" s="524" t="e">
        <f>#REF!</f>
        <v>#REF!</v>
      </c>
    </row>
    <row r="30" spans="1:40" s="1597" customFormat="1" ht="15.75" customHeight="1" outlineLevel="1" thickBot="1">
      <c r="A30" s="1596" t="s">
        <v>17</v>
      </c>
      <c r="B30" s="1834">
        <f>B29-B28</f>
        <v>0</v>
      </c>
      <c r="C30" s="1835">
        <f>C29-C28</f>
        <v>0</v>
      </c>
      <c r="D30" s="1834">
        <f t="shared" ref="D30" si="63">D29-D28</f>
        <v>14</v>
      </c>
      <c r="E30" s="1835">
        <f t="shared" ref="E30" si="64">E29-E28</f>
        <v>0.39900000000000002</v>
      </c>
      <c r="F30" s="1834">
        <f t="shared" ref="F30" si="65">F29-F28</f>
        <v>0</v>
      </c>
      <c r="G30" s="1835">
        <f t="shared" ref="G30" si="66">G29-G28</f>
        <v>0</v>
      </c>
      <c r="H30" s="1834">
        <f t="shared" ref="H30" si="67">H29-H28</f>
        <v>0</v>
      </c>
      <c r="I30" s="1835">
        <f t="shared" ref="I30" si="68">I29-I28</f>
        <v>0</v>
      </c>
      <c r="J30" s="1834">
        <f t="shared" ref="J30" si="69">J29-J28</f>
        <v>0</v>
      </c>
      <c r="K30" s="1835">
        <f t="shared" ref="K30:V30" si="70">K29-K28</f>
        <v>0</v>
      </c>
      <c r="L30" s="1844">
        <f t="shared" si="70"/>
        <v>0.85800000000000054</v>
      </c>
      <c r="M30" s="1834">
        <f t="shared" si="70"/>
        <v>0</v>
      </c>
      <c r="N30" s="1835">
        <f t="shared" si="70"/>
        <v>0</v>
      </c>
      <c r="O30" s="1834">
        <f t="shared" si="70"/>
        <v>4</v>
      </c>
      <c r="P30" s="1837">
        <f t="shared" si="70"/>
        <v>0.26200000000000001</v>
      </c>
      <c r="Q30" s="1834">
        <f t="shared" si="70"/>
        <v>0</v>
      </c>
      <c r="R30" s="1835">
        <f t="shared" si="70"/>
        <v>0</v>
      </c>
      <c r="S30" s="1834">
        <f t="shared" si="70"/>
        <v>7</v>
      </c>
      <c r="T30" s="1835">
        <f t="shared" si="70"/>
        <v>0.19900000000000001</v>
      </c>
      <c r="U30" s="1834">
        <f t="shared" si="70"/>
        <v>56</v>
      </c>
      <c r="V30" s="1835">
        <f t="shared" si="70"/>
        <v>7.7080000000000002</v>
      </c>
      <c r="W30" s="1838">
        <f>W29-W28</f>
        <v>-53</v>
      </c>
      <c r="X30" s="1839">
        <f>X29-X28</f>
        <v>-6.9119999999999999</v>
      </c>
      <c r="Y30" s="1834">
        <f>Y29-Y28</f>
        <v>-26.5</v>
      </c>
      <c r="Z30" s="1835"/>
      <c r="AA30" s="1840">
        <f t="shared" ref="AA30:AI30" si="71">AA29-AA28</f>
        <v>4353</v>
      </c>
      <c r="AB30" s="1841">
        <f t="shared" si="71"/>
        <v>4353</v>
      </c>
      <c r="AC30" s="521">
        <f t="shared" si="71"/>
        <v>-197.2449899134557</v>
      </c>
      <c r="AD30" s="1221">
        <f t="shared" si="71"/>
        <v>214.50368150684935</v>
      </c>
      <c r="AE30" s="1222">
        <f t="shared" si="71"/>
        <v>2507.5795000000003</v>
      </c>
      <c r="AF30" s="1223">
        <f>AE30-AG30</f>
        <v>1208.5495000000003</v>
      </c>
      <c r="AG30" s="1223">
        <f t="shared" si="71"/>
        <v>1299.03</v>
      </c>
      <c r="AH30" s="1224">
        <f t="shared" si="71"/>
        <v>1181.7550000000001</v>
      </c>
      <c r="AI30" s="1225" t="e">
        <f t="shared" si="71"/>
        <v>#REF!</v>
      </c>
    </row>
    <row r="31" spans="1:40" ht="16.5">
      <c r="A31" s="528" t="s">
        <v>572</v>
      </c>
      <c r="B31" s="502">
        <f>[1]КРС!B31</f>
        <v>4</v>
      </c>
      <c r="C31" s="1817">
        <f>[1]КРС!C31</f>
        <v>1.8169999999999999</v>
      </c>
      <c r="D31" s="502"/>
      <c r="E31" s="501"/>
      <c r="F31" s="502"/>
      <c r="G31" s="1819"/>
      <c r="H31" s="500"/>
      <c r="I31" s="1818"/>
      <c r="J31" s="502"/>
      <c r="K31" s="503"/>
      <c r="L31" s="1593">
        <f>[1]КРС!L31+[2]КРС!L31</f>
        <v>0</v>
      </c>
      <c r="M31" s="1822"/>
      <c r="N31" s="1823"/>
      <c r="O31" s="502">
        <f>[1]КРС!O31+[2]КРС!O31</f>
        <v>0</v>
      </c>
      <c r="P31" s="1593">
        <f>[1]КРС!P31+[2]КРС!P31</f>
        <v>0</v>
      </c>
      <c r="Q31" s="1822"/>
      <c r="R31" s="1823"/>
      <c r="S31" s="1820"/>
      <c r="T31" s="1824"/>
      <c r="U31" s="1822">
        <v>0</v>
      </c>
      <c r="V31" s="1824">
        <v>0</v>
      </c>
      <c r="W31" s="500">
        <f>B31+D31+F31+H31+J31-M31-O31-Q31-S31-U31</f>
        <v>4</v>
      </c>
      <c r="X31" s="501">
        <f>C31+E31+G31+I31+K31+L31-N31-P31-R31-T31-V31</f>
        <v>1.8169999999999999</v>
      </c>
      <c r="Y31" s="502">
        <f>(B31+W31)/2</f>
        <v>4</v>
      </c>
      <c r="Z31" s="503"/>
      <c r="AA31" s="1256">
        <f>[1]КРС!AA31+[2]КРС!AA31</f>
        <v>972</v>
      </c>
      <c r="AB31" s="1768">
        <f>[1]КРС!AB31+[2]КРС!AB31</f>
        <v>972</v>
      </c>
      <c r="AC31" s="504">
        <f>L31*1000000/AA31</f>
        <v>0</v>
      </c>
      <c r="AD31" s="1219">
        <v>3</v>
      </c>
      <c r="AE31" s="1226">
        <f>AB31*AD31/1000</f>
        <v>2.9159999999999999</v>
      </c>
      <c r="AF31" s="1229">
        <f t="shared" ref="AF31:AH32" si="72">K67</f>
        <v>2.9159999999999999</v>
      </c>
      <c r="AG31" s="507">
        <f t="shared" si="72"/>
        <v>0</v>
      </c>
      <c r="AH31" s="508">
        <f t="shared" si="72"/>
        <v>0</v>
      </c>
      <c r="AI31" s="509">
        <f>Q91</f>
        <v>19.431339999999999</v>
      </c>
      <c r="AJ31" s="472"/>
      <c r="AK31" s="472"/>
      <c r="AL31" s="472"/>
      <c r="AM31" s="472"/>
      <c r="AN31" s="472"/>
    </row>
    <row r="32" spans="1:40" ht="15.75" customHeight="1" outlineLevel="1">
      <c r="A32" s="510" t="s">
        <v>16</v>
      </c>
      <c r="B32" s="2147">
        <v>4</v>
      </c>
      <c r="C32" s="2315">
        <v>1.8169999999999999</v>
      </c>
      <c r="D32" s="1825"/>
      <c r="E32" s="512"/>
      <c r="F32" s="1825"/>
      <c r="G32" s="514"/>
      <c r="H32" s="1826"/>
      <c r="I32" s="512"/>
      <c r="J32" s="1825"/>
      <c r="K32" s="514"/>
      <c r="L32" s="2320">
        <v>1.2729999999999999</v>
      </c>
      <c r="M32" s="1830"/>
      <c r="N32" s="1831"/>
      <c r="O32" s="2317">
        <v>4</v>
      </c>
      <c r="P32" s="2319">
        <v>3.09</v>
      </c>
      <c r="Q32" s="1830"/>
      <c r="R32" s="1831"/>
      <c r="S32" s="1828"/>
      <c r="T32" s="1832"/>
      <c r="U32" s="1830"/>
      <c r="V32" s="1832"/>
      <c r="W32" s="511">
        <f>B32+D32+F32+H32+J32-M32-O32-Q32-S32-U32</f>
        <v>0</v>
      </c>
      <c r="X32" s="512">
        <f>C32+E32+G32+I32+K32+L32-N32-P32-R32-T32-V32</f>
        <v>0</v>
      </c>
      <c r="Y32" s="1344">
        <f>(B32+W32)/2</f>
        <v>2</v>
      </c>
      <c r="Z32" s="514"/>
      <c r="AA32" s="1833"/>
      <c r="AB32" s="1833">
        <v>244</v>
      </c>
      <c r="AC32" s="515" t="e">
        <f>L32*1000000/AA32</f>
        <v>#DIV/0!</v>
      </c>
      <c r="AD32" s="1220">
        <f>AE32/AB32*1000</f>
        <v>0</v>
      </c>
      <c r="AE32" s="516">
        <f>AF32+AG32+AH32</f>
        <v>0</v>
      </c>
      <c r="AF32" s="1227">
        <f t="shared" si="72"/>
        <v>0</v>
      </c>
      <c r="AG32" s="1227">
        <f>L68</f>
        <v>0</v>
      </c>
      <c r="AH32" s="1228">
        <f>M68</f>
        <v>0</v>
      </c>
      <c r="AI32" s="524" t="e">
        <f>#REF!</f>
        <v>#REF!</v>
      </c>
      <c r="AJ32" s="472"/>
      <c r="AK32" s="472"/>
      <c r="AL32" s="472"/>
      <c r="AM32" s="472"/>
      <c r="AN32" s="472"/>
    </row>
    <row r="33" spans="1:40" s="1597" customFormat="1" ht="15.75" customHeight="1" outlineLevel="1" thickBot="1">
      <c r="A33" s="1596" t="s">
        <v>17</v>
      </c>
      <c r="B33" s="1834">
        <f>B32-B31</f>
        <v>0</v>
      </c>
      <c r="C33" s="1835">
        <f>C32-C31</f>
        <v>0</v>
      </c>
      <c r="D33" s="1834">
        <f t="shared" ref="D33" si="73">D32-D31</f>
        <v>0</v>
      </c>
      <c r="E33" s="1835">
        <f t="shared" ref="E33" si="74">E32-E31</f>
        <v>0</v>
      </c>
      <c r="F33" s="1834">
        <f t="shared" ref="F33" si="75">F32-F31</f>
        <v>0</v>
      </c>
      <c r="G33" s="1835">
        <f t="shared" ref="G33" si="76">G32-G31</f>
        <v>0</v>
      </c>
      <c r="H33" s="1834">
        <f t="shared" ref="H33" si="77">H32-H31</f>
        <v>0</v>
      </c>
      <c r="I33" s="1835">
        <f t="shared" ref="I33" si="78">I32-I31</f>
        <v>0</v>
      </c>
      <c r="J33" s="1834">
        <f t="shared" ref="J33" si="79">J32-J31</f>
        <v>0</v>
      </c>
      <c r="K33" s="1835">
        <f t="shared" ref="K33:V33" si="80">K32-K31</f>
        <v>0</v>
      </c>
      <c r="L33" s="1844">
        <f t="shared" si="80"/>
        <v>1.2729999999999999</v>
      </c>
      <c r="M33" s="1834">
        <f t="shared" si="80"/>
        <v>0</v>
      </c>
      <c r="N33" s="1835">
        <f t="shared" si="80"/>
        <v>0</v>
      </c>
      <c r="O33" s="1834">
        <f t="shared" si="80"/>
        <v>4</v>
      </c>
      <c r="P33" s="1837">
        <f t="shared" si="80"/>
        <v>3.09</v>
      </c>
      <c r="Q33" s="1834">
        <f t="shared" si="80"/>
        <v>0</v>
      </c>
      <c r="R33" s="1835">
        <f t="shared" si="80"/>
        <v>0</v>
      </c>
      <c r="S33" s="1834">
        <f t="shared" si="80"/>
        <v>0</v>
      </c>
      <c r="T33" s="1835">
        <f t="shared" si="80"/>
        <v>0</v>
      </c>
      <c r="U33" s="1834">
        <f t="shared" si="80"/>
        <v>0</v>
      </c>
      <c r="V33" s="1835">
        <f t="shared" si="80"/>
        <v>0</v>
      </c>
      <c r="W33" s="1838">
        <f>W32-W31</f>
        <v>-4</v>
      </c>
      <c r="X33" s="1839">
        <f>X32-X31</f>
        <v>-1.8169999999999999</v>
      </c>
      <c r="Y33" s="1834">
        <f>Y32-Y31</f>
        <v>-2</v>
      </c>
      <c r="Z33" s="1835"/>
      <c r="AA33" s="1840">
        <f t="shared" ref="AA33:AI33" si="81">AA32-AA31</f>
        <v>-972</v>
      </c>
      <c r="AB33" s="1841">
        <f t="shared" si="81"/>
        <v>-728</v>
      </c>
      <c r="AC33" s="521" t="e">
        <f t="shared" si="81"/>
        <v>#DIV/0!</v>
      </c>
      <c r="AD33" s="1221">
        <f t="shared" si="81"/>
        <v>-3</v>
      </c>
      <c r="AE33" s="1222">
        <f t="shared" si="81"/>
        <v>-2.9159999999999999</v>
      </c>
      <c r="AF33" s="1223">
        <f>AE33-AG33</f>
        <v>-2.9159999999999999</v>
      </c>
      <c r="AG33" s="1223">
        <f t="shared" si="81"/>
        <v>0</v>
      </c>
      <c r="AH33" s="1224">
        <f t="shared" si="81"/>
        <v>0</v>
      </c>
      <c r="AI33" s="1225" t="e">
        <f t="shared" si="81"/>
        <v>#REF!</v>
      </c>
    </row>
    <row r="34" spans="1:40" ht="16.5">
      <c r="A34" s="528" t="s">
        <v>311</v>
      </c>
      <c r="B34" s="502"/>
      <c r="C34" s="503"/>
      <c r="D34" s="502"/>
      <c r="E34" s="1818"/>
      <c r="F34" s="502"/>
      <c r="G34" s="1819"/>
      <c r="H34" s="500"/>
      <c r="I34" s="1818"/>
      <c r="J34" s="502">
        <f>[1]КРС!J34+[2]КРС!J34</f>
        <v>21</v>
      </c>
      <c r="K34" s="1593">
        <f>[1]КРС!K34+[2]КРС!K34</f>
        <v>9.4500000000000011</v>
      </c>
      <c r="L34" s="1593">
        <f>[1]КРС!L34+[2]КРС!L34</f>
        <v>1.0499999999999998</v>
      </c>
      <c r="M34" s="1822"/>
      <c r="N34" s="1823"/>
      <c r="O34" s="502">
        <f>[1]КРС!O34+[2]КРС!O34</f>
        <v>21</v>
      </c>
      <c r="P34" s="1593">
        <f>[1]КРС!P34+[2]КРС!P34</f>
        <v>10.5</v>
      </c>
      <c r="Q34" s="1822"/>
      <c r="R34" s="1823"/>
      <c r="S34" s="1820"/>
      <c r="T34" s="1824"/>
      <c r="U34" s="1822"/>
      <c r="V34" s="1824"/>
      <c r="W34" s="500">
        <f>B34+D34+F34+H34+J34-M34-O34-Q34-S34-U34</f>
        <v>0</v>
      </c>
      <c r="X34" s="501">
        <f>C34+E34+G34+I34+K34+L34-N34-P34-R34-T34-V34</f>
        <v>0</v>
      </c>
      <c r="Y34" s="502">
        <f>(B34+W34)/2</f>
        <v>0</v>
      </c>
      <c r="Z34" s="503"/>
      <c r="AA34" s="1256">
        <f>[1]КРС!AA34</f>
        <v>0</v>
      </c>
      <c r="AB34" s="1257">
        <f>[1]КРС!AB34</f>
        <v>0</v>
      </c>
      <c r="AC34" s="504"/>
      <c r="AD34" s="1219"/>
      <c r="AE34" s="506">
        <f>AB34*AD34/1000</f>
        <v>0</v>
      </c>
      <c r="AF34" s="592"/>
      <c r="AG34" s="592"/>
      <c r="AH34" s="593"/>
      <c r="AI34" s="594"/>
      <c r="AJ34" s="472"/>
      <c r="AK34" s="472"/>
      <c r="AL34" s="472"/>
      <c r="AM34" s="472"/>
      <c r="AN34" s="472"/>
    </row>
    <row r="35" spans="1:40" ht="15" customHeight="1" outlineLevel="1">
      <c r="A35" s="510" t="s">
        <v>16</v>
      </c>
      <c r="B35" s="513"/>
      <c r="C35" s="514"/>
      <c r="D35" s="1825"/>
      <c r="E35" s="512"/>
      <c r="F35" s="1825"/>
      <c r="G35" s="514"/>
      <c r="H35" s="1826"/>
      <c r="I35" s="512"/>
      <c r="J35" s="2317">
        <f>M8</f>
        <v>29</v>
      </c>
      <c r="K35" s="2318">
        <f>N8</f>
        <v>13.135289999999999</v>
      </c>
      <c r="L35" s="2320">
        <f>P35-K35</f>
        <v>2.4327100000000002</v>
      </c>
      <c r="M35" s="1830"/>
      <c r="N35" s="591"/>
      <c r="O35" s="2317">
        <f>J35</f>
        <v>29</v>
      </c>
      <c r="P35" s="2319">
        <v>15.568</v>
      </c>
      <c r="Q35" s="1830"/>
      <c r="R35" s="1831"/>
      <c r="S35" s="1828"/>
      <c r="T35" s="1832"/>
      <c r="U35" s="1830"/>
      <c r="V35" s="1832"/>
      <c r="W35" s="511">
        <f>B35+D35+F35+H35+J35-M35-O35-Q35-S35-U35</f>
        <v>0</v>
      </c>
      <c r="X35" s="512">
        <f>C35+E35+G35+I35+K35+L35-N35-P35-R35-T35-V35</f>
        <v>0</v>
      </c>
      <c r="Y35" s="1344">
        <f>(B35+W35)/2</f>
        <v>0</v>
      </c>
      <c r="Z35" s="514"/>
      <c r="AA35" s="1833"/>
      <c r="AB35" s="1833"/>
      <c r="AC35" s="515"/>
      <c r="AD35" s="1220" t="e">
        <f>AE35/AB35*1000</f>
        <v>#DIV/0!</v>
      </c>
      <c r="AE35" s="516">
        <f>AF35+AG35+AH35</f>
        <v>0</v>
      </c>
      <c r="AF35" s="595"/>
      <c r="AG35" s="595"/>
      <c r="AH35" s="596"/>
      <c r="AI35" s="597"/>
      <c r="AJ35" s="472"/>
      <c r="AK35" s="472"/>
      <c r="AL35" s="472"/>
      <c r="AM35" s="472"/>
      <c r="AN35" s="472"/>
    </row>
    <row r="36" spans="1:40" s="1597" customFormat="1" ht="15.75" customHeight="1" outlineLevel="1" thickBot="1">
      <c r="A36" s="1596" t="s">
        <v>17</v>
      </c>
      <c r="B36" s="1834">
        <f>B35-B34</f>
        <v>0</v>
      </c>
      <c r="C36" s="1835">
        <f>C35-C34</f>
        <v>0</v>
      </c>
      <c r="D36" s="1834">
        <f t="shared" ref="D36" si="82">D35-D34</f>
        <v>0</v>
      </c>
      <c r="E36" s="1835">
        <f t="shared" ref="E36" si="83">E35-E34</f>
        <v>0</v>
      </c>
      <c r="F36" s="1834">
        <f t="shared" ref="F36" si="84">F35-F34</f>
        <v>0</v>
      </c>
      <c r="G36" s="1835">
        <f t="shared" ref="G36" si="85">G35-G34</f>
        <v>0</v>
      </c>
      <c r="H36" s="1834">
        <f t="shared" ref="H36" si="86">H35-H34</f>
        <v>0</v>
      </c>
      <c r="I36" s="1835">
        <f t="shared" ref="I36" si="87">I35-I34</f>
        <v>0</v>
      </c>
      <c r="J36" s="1834">
        <f t="shared" ref="J36" si="88">J35-J34</f>
        <v>8</v>
      </c>
      <c r="K36" s="1835">
        <f t="shared" ref="K36:V36" si="89">K35-K34</f>
        <v>3.6852899999999984</v>
      </c>
      <c r="L36" s="1844">
        <f t="shared" si="89"/>
        <v>1.3827100000000003</v>
      </c>
      <c r="M36" s="1834">
        <f t="shared" si="89"/>
        <v>0</v>
      </c>
      <c r="N36" s="1835">
        <f t="shared" si="89"/>
        <v>0</v>
      </c>
      <c r="O36" s="1834">
        <f t="shared" si="89"/>
        <v>8</v>
      </c>
      <c r="P36" s="1837">
        <f t="shared" si="89"/>
        <v>5.0679999999999996</v>
      </c>
      <c r="Q36" s="1834">
        <f t="shared" si="89"/>
        <v>0</v>
      </c>
      <c r="R36" s="1835">
        <f t="shared" si="89"/>
        <v>0</v>
      </c>
      <c r="S36" s="1834">
        <f t="shared" si="89"/>
        <v>0</v>
      </c>
      <c r="T36" s="1835">
        <f t="shared" si="89"/>
        <v>0</v>
      </c>
      <c r="U36" s="1834">
        <f t="shared" si="89"/>
        <v>0</v>
      </c>
      <c r="V36" s="1835">
        <f t="shared" si="89"/>
        <v>0</v>
      </c>
      <c r="W36" s="1838">
        <f>W35-W34</f>
        <v>0</v>
      </c>
      <c r="X36" s="1839">
        <f>X35-X34</f>
        <v>0</v>
      </c>
      <c r="Y36" s="1834">
        <f>Y35-Y34</f>
        <v>0</v>
      </c>
      <c r="Z36" s="1835"/>
      <c r="AA36" s="1840">
        <f t="shared" ref="AA36:AI36" si="90">AA35-AA34</f>
        <v>0</v>
      </c>
      <c r="AB36" s="1841">
        <f t="shared" si="90"/>
        <v>0</v>
      </c>
      <c r="AC36" s="521">
        <f t="shared" si="90"/>
        <v>0</v>
      </c>
      <c r="AD36" s="1221" t="e">
        <f t="shared" si="90"/>
        <v>#DIV/0!</v>
      </c>
      <c r="AE36" s="1222">
        <f t="shared" si="90"/>
        <v>0</v>
      </c>
      <c r="AF36" s="1223">
        <f>AE36-AG36</f>
        <v>0</v>
      </c>
      <c r="AG36" s="1223">
        <f t="shared" si="90"/>
        <v>0</v>
      </c>
      <c r="AH36" s="1224">
        <f t="shared" si="90"/>
        <v>0</v>
      </c>
      <c r="AI36" s="1225">
        <f t="shared" si="90"/>
        <v>0</v>
      </c>
    </row>
    <row r="37" spans="1:40" s="471" customFormat="1" ht="15.75" customHeight="1" thickBot="1">
      <c r="A37" s="530" t="s">
        <v>37</v>
      </c>
      <c r="B37" s="701">
        <f>B7+B10+B13+B16+B19+B22+B31+B34+B25+B28</f>
        <v>352</v>
      </c>
      <c r="C37" s="699">
        <f>C7+C10+C13+C16+C19+C22+C31+C34+C25+C28</f>
        <v>113.83986</v>
      </c>
      <c r="D37" s="1853">
        <f>D7+D10+D13+D16+D19+D22+D31+D34+D25+D28</f>
        <v>109</v>
      </c>
      <c r="E37" s="1854">
        <f>E7+E10+E13+E16+E19+E22+E31+E34+E25+E28</f>
        <v>3.27</v>
      </c>
      <c r="F37" s="1853">
        <f>F7+F10+F13+F16+F19+F22+F25+F28+F31+F34</f>
        <v>0</v>
      </c>
      <c r="G37" s="1854">
        <f t="shared" ref="G37:AB37" si="91">G7+G10+G13+G16+G19+G22+G25+G28+G31+G34</f>
        <v>0</v>
      </c>
      <c r="H37" s="1853">
        <f t="shared" si="91"/>
        <v>0</v>
      </c>
      <c r="I37" s="1854">
        <f t="shared" si="91"/>
        <v>0</v>
      </c>
      <c r="J37" s="1853">
        <f t="shared" si="91"/>
        <v>70</v>
      </c>
      <c r="K37" s="1854">
        <f t="shared" si="91"/>
        <v>30.4</v>
      </c>
      <c r="L37" s="1230">
        <f t="shared" si="91"/>
        <v>39.623499999999993</v>
      </c>
      <c r="M37" s="1853">
        <f t="shared" si="91"/>
        <v>82</v>
      </c>
      <c r="N37" s="1854">
        <f t="shared" si="91"/>
        <v>35.56</v>
      </c>
      <c r="O37" s="1853">
        <f t="shared" si="91"/>
        <v>95</v>
      </c>
      <c r="P37" s="1855">
        <f t="shared" si="91"/>
        <v>38.92</v>
      </c>
      <c r="Q37" s="1853">
        <f t="shared" si="91"/>
        <v>0</v>
      </c>
      <c r="R37" s="1854">
        <f t="shared" si="91"/>
        <v>0</v>
      </c>
      <c r="S37" s="1853">
        <f t="shared" si="91"/>
        <v>5</v>
      </c>
      <c r="T37" s="1854">
        <f t="shared" si="91"/>
        <v>0.15</v>
      </c>
      <c r="U37" s="1853">
        <f t="shared" si="91"/>
        <v>0</v>
      </c>
      <c r="V37" s="1854">
        <f t="shared" si="91"/>
        <v>0</v>
      </c>
      <c r="W37" s="1853">
        <f t="shared" si="91"/>
        <v>349</v>
      </c>
      <c r="X37" s="1854">
        <f t="shared" si="91"/>
        <v>112.50335999999999</v>
      </c>
      <c r="Y37" s="1853">
        <f t="shared" si="91"/>
        <v>350.5</v>
      </c>
      <c r="Z37" s="1856">
        <f t="shared" ref="Z37" si="92">Z7+Z10+Z13+Z16+Z19+Z22+Z31+Z34</f>
        <v>0</v>
      </c>
      <c r="AA37" s="1857">
        <f t="shared" si="91"/>
        <v>57741.5</v>
      </c>
      <c r="AB37" s="1891">
        <f t="shared" si="91"/>
        <v>107072</v>
      </c>
      <c r="AC37" s="531">
        <f>L37*1000000/AA37</f>
        <v>686.22221452508154</v>
      </c>
      <c r="AD37" s="1231">
        <f>AE37/AB37*1000</f>
        <v>4.1552436678123135</v>
      </c>
      <c r="AE37" s="1230">
        <f>AE7+AE10+AE13+AE16+AE19+AE22+AE31+AE34+AE25+AE28</f>
        <v>444.91025000000002</v>
      </c>
      <c r="AF37" s="1232">
        <f>AF7+AF10+AF13+AF16+AF19+AF22+AF31+AF34+AF25+AF28</f>
        <v>444.91025000000002</v>
      </c>
      <c r="AG37" s="599">
        <f t="shared" ref="AG37:AI38" si="93">AG7+AG10+AG13+AG16+AG19+AG22+AG31+AG34</f>
        <v>0</v>
      </c>
      <c r="AH37" s="598">
        <f t="shared" si="93"/>
        <v>0</v>
      </c>
      <c r="AI37" s="901">
        <f t="shared" si="93"/>
        <v>4188.0113099999999</v>
      </c>
    </row>
    <row r="38" spans="1:40" s="471" customFormat="1" ht="15.75" customHeight="1" outlineLevel="1">
      <c r="A38" s="1242" t="s">
        <v>38</v>
      </c>
      <c r="B38" s="1858">
        <f>B8+B11+B14+B17+B20+B23+B32+B35</f>
        <v>363</v>
      </c>
      <c r="C38" s="1859">
        <f>C8+C11+C14+C17+C20+C23+C32+C35</f>
        <v>123.26331</v>
      </c>
      <c r="D38" s="2089">
        <f>D8+D11+D14+D17+D20+D23+D26+D29+D32+D35</f>
        <v>133</v>
      </c>
      <c r="E38" s="2090">
        <f>E8+E11+E14+E17+E20+E23+E26+E29+E32+E35</f>
        <v>3.8559999999999999</v>
      </c>
      <c r="F38" s="1860">
        <f t="shared" ref="F38:I38" si="94">F8+F11+F14+F17+F20+F23+F32+F35</f>
        <v>0</v>
      </c>
      <c r="G38" s="1862">
        <f t="shared" si="94"/>
        <v>0</v>
      </c>
      <c r="H38" s="1863">
        <f t="shared" si="94"/>
        <v>0</v>
      </c>
      <c r="I38" s="1861">
        <f t="shared" si="94"/>
        <v>0</v>
      </c>
      <c r="J38" s="2089">
        <f t="shared" ref="J38:AB38" si="95">J8+J11+J14+J17+J20+J23+J26+J29+J32+J35</f>
        <v>108</v>
      </c>
      <c r="K38" s="2090">
        <f t="shared" si="95"/>
        <v>47.918289999999999</v>
      </c>
      <c r="L38" s="1864">
        <f t="shared" si="95"/>
        <v>38.811710000000005</v>
      </c>
      <c r="M38" s="2089">
        <f t="shared" si="95"/>
        <v>108</v>
      </c>
      <c r="N38" s="2090">
        <f t="shared" si="95"/>
        <v>47.918289999999999</v>
      </c>
      <c r="O38" s="2089">
        <f t="shared" si="95"/>
        <v>105</v>
      </c>
      <c r="P38" s="2090">
        <f t="shared" si="95"/>
        <v>44.604999999999997</v>
      </c>
      <c r="Q38" s="2089">
        <f t="shared" si="95"/>
        <v>1</v>
      </c>
      <c r="R38" s="2090">
        <f t="shared" si="95"/>
        <v>0.5</v>
      </c>
      <c r="S38" s="2089">
        <f t="shared" si="95"/>
        <v>18</v>
      </c>
      <c r="T38" s="2090">
        <f t="shared" si="95"/>
        <v>1.2189999999999999</v>
      </c>
      <c r="U38" s="2089">
        <f t="shared" si="95"/>
        <v>370</v>
      </c>
      <c r="V38" s="2090">
        <f t="shared" si="95"/>
        <v>118.51802000000001</v>
      </c>
      <c r="W38" s="2089">
        <f t="shared" si="95"/>
        <v>2</v>
      </c>
      <c r="X38" s="2090">
        <f t="shared" si="95"/>
        <v>1.0889999999999995</v>
      </c>
      <c r="Y38" s="2089">
        <f t="shared" si="95"/>
        <v>182.5</v>
      </c>
      <c r="Z38" s="2090">
        <f t="shared" si="95"/>
        <v>0</v>
      </c>
      <c r="AA38" s="2093">
        <f t="shared" si="95"/>
        <v>70898</v>
      </c>
      <c r="AB38" s="2094">
        <f t="shared" si="95"/>
        <v>120131</v>
      </c>
      <c r="AC38" s="1865">
        <f>L38*1000000/AA38</f>
        <v>547.43025191119648</v>
      </c>
      <c r="AD38" s="1243">
        <f>AE38/AB38*1000</f>
        <v>13.519075009780989</v>
      </c>
      <c r="AE38" s="1244">
        <f>AE8+AE11+AE14+AE17+AE20+AE23+AE32+AE35</f>
        <v>1624.06</v>
      </c>
      <c r="AF38" s="1245">
        <f>AF8+AF11+AF14+AF17+AF20+AF23+AF32+AF35</f>
        <v>294.572</v>
      </c>
      <c r="AG38" s="1245">
        <f t="shared" si="93"/>
        <v>30.457999999999998</v>
      </c>
      <c r="AH38" s="1246">
        <f t="shared" si="93"/>
        <v>1299.03</v>
      </c>
      <c r="AI38" s="1247" t="e">
        <f t="shared" si="93"/>
        <v>#REF!</v>
      </c>
    </row>
    <row r="39" spans="1:40" s="1604" customFormat="1" ht="15.75" customHeight="1" outlineLevel="1" thickBot="1">
      <c r="A39" s="1596" t="s">
        <v>17</v>
      </c>
      <c r="B39" s="1866">
        <f>B38-B37</f>
        <v>11</v>
      </c>
      <c r="C39" s="1867">
        <f>C38-C37</f>
        <v>9.4234500000000025</v>
      </c>
      <c r="D39" s="1866">
        <f t="shared" ref="D39" si="96">D38-D37</f>
        <v>24</v>
      </c>
      <c r="E39" s="1867">
        <f t="shared" ref="E39" si="97">E38-E37</f>
        <v>0.58599999999999985</v>
      </c>
      <c r="F39" s="1866">
        <f t="shared" ref="F39" si="98">F38-F37</f>
        <v>0</v>
      </c>
      <c r="G39" s="1867">
        <f t="shared" ref="G39" si="99">G38-G37</f>
        <v>0</v>
      </c>
      <c r="H39" s="1866">
        <f t="shared" ref="H39" si="100">H38-H37</f>
        <v>0</v>
      </c>
      <c r="I39" s="1867">
        <f t="shared" ref="I39" si="101">I38-I37</f>
        <v>0</v>
      </c>
      <c r="J39" s="1866">
        <f t="shared" ref="J39" si="102">J38-J37</f>
        <v>38</v>
      </c>
      <c r="K39" s="1867">
        <f t="shared" ref="K39:V39" si="103">K38-K37</f>
        <v>17.51829</v>
      </c>
      <c r="L39" s="1868">
        <f t="shared" si="103"/>
        <v>-0.8117899999999878</v>
      </c>
      <c r="M39" s="1866">
        <f t="shared" si="103"/>
        <v>26</v>
      </c>
      <c r="N39" s="1867">
        <f t="shared" si="103"/>
        <v>12.358289999999997</v>
      </c>
      <c r="O39" s="1866">
        <f t="shared" si="103"/>
        <v>10</v>
      </c>
      <c r="P39" s="1869">
        <f t="shared" si="103"/>
        <v>5.6849999999999952</v>
      </c>
      <c r="Q39" s="1866">
        <f t="shared" si="103"/>
        <v>1</v>
      </c>
      <c r="R39" s="1867">
        <f t="shared" si="103"/>
        <v>0.5</v>
      </c>
      <c r="S39" s="1866">
        <f t="shared" si="103"/>
        <v>13</v>
      </c>
      <c r="T39" s="1867">
        <f t="shared" si="103"/>
        <v>1.069</v>
      </c>
      <c r="U39" s="1866">
        <f t="shared" si="103"/>
        <v>370</v>
      </c>
      <c r="V39" s="1867">
        <f t="shared" si="103"/>
        <v>118.51802000000001</v>
      </c>
      <c r="W39" s="1870">
        <f>W38-W37</f>
        <v>-347</v>
      </c>
      <c r="X39" s="1871">
        <f>X38-X37</f>
        <v>-111.41435999999999</v>
      </c>
      <c r="Y39" s="1866">
        <f>Y38-Y37</f>
        <v>-168</v>
      </c>
      <c r="Z39" s="1867"/>
      <c r="AA39" s="2091">
        <f t="shared" ref="AA39:AI39" si="104">AA38-AA37</f>
        <v>13156.5</v>
      </c>
      <c r="AB39" s="2092">
        <f t="shared" si="104"/>
        <v>13059</v>
      </c>
      <c r="AC39" s="1873">
        <f t="shared" si="104"/>
        <v>-138.79196261388506</v>
      </c>
      <c r="AD39" s="1874">
        <f t="shared" si="104"/>
        <v>9.3638313419686767</v>
      </c>
      <c r="AE39" s="1875">
        <f t="shared" si="104"/>
        <v>1179.14975</v>
      </c>
      <c r="AF39" s="1876">
        <f>AE39-AG39</f>
        <v>1148.69175</v>
      </c>
      <c r="AG39" s="1876">
        <f t="shared" si="104"/>
        <v>30.457999999999998</v>
      </c>
      <c r="AH39" s="1877">
        <f t="shared" si="104"/>
        <v>1299.03</v>
      </c>
      <c r="AI39" s="1878" t="e">
        <f t="shared" si="104"/>
        <v>#REF!</v>
      </c>
    </row>
    <row r="40" spans="1:40" ht="16.5" customHeight="1">
      <c r="AB40" s="472"/>
      <c r="AD40" s="475"/>
      <c r="AN40" s="472"/>
    </row>
    <row r="41" spans="1:40" s="476" customFormat="1" ht="9" customHeight="1">
      <c r="A41" s="476" t="s">
        <v>313</v>
      </c>
      <c r="C41" s="473"/>
      <c r="P41" s="1611"/>
      <c r="R41" s="473"/>
    </row>
    <row r="42" spans="1:40" ht="8.25">
      <c r="A42" s="476"/>
      <c r="B42" s="476"/>
      <c r="D42" s="476"/>
      <c r="E42" s="476"/>
      <c r="F42" s="476"/>
      <c r="G42" s="476"/>
      <c r="H42" s="476"/>
      <c r="I42" s="476"/>
      <c r="J42" s="476"/>
      <c r="K42" s="476"/>
      <c r="L42" s="476"/>
      <c r="M42" s="476"/>
      <c r="N42" s="476"/>
      <c r="O42" s="476"/>
      <c r="Q42" s="476"/>
      <c r="S42" s="476"/>
      <c r="T42" s="476"/>
      <c r="U42" s="476"/>
      <c r="V42" s="476"/>
      <c r="W42" s="476"/>
      <c r="X42" s="476"/>
      <c r="Y42" s="476"/>
      <c r="Z42" s="476"/>
      <c r="AA42" s="476"/>
      <c r="AB42" s="476"/>
      <c r="AC42" s="476"/>
      <c r="AD42" s="476"/>
      <c r="AE42" s="476"/>
      <c r="AF42" s="476"/>
      <c r="AG42" s="476"/>
      <c r="AN42" s="472"/>
    </row>
    <row r="43" spans="1:40" s="534" customFormat="1" ht="11.25" customHeight="1">
      <c r="A43" s="533"/>
      <c r="B43" s="2424" t="s">
        <v>277</v>
      </c>
      <c r="C43" s="2425"/>
      <c r="D43" s="2375" t="s">
        <v>317</v>
      </c>
      <c r="E43" s="2376"/>
      <c r="F43" s="2376"/>
      <c r="G43" s="2376"/>
      <c r="H43" s="2376"/>
      <c r="I43" s="2376"/>
      <c r="J43" s="2376"/>
      <c r="K43" s="2376"/>
      <c r="L43" s="2377" t="s">
        <v>645</v>
      </c>
      <c r="M43" s="2377"/>
      <c r="N43" s="2377"/>
      <c r="O43" s="2377"/>
      <c r="P43" s="2377"/>
      <c r="Q43" s="2373" t="s">
        <v>278</v>
      </c>
      <c r="R43" s="2371" t="s">
        <v>279</v>
      </c>
      <c r="S43" s="2371" t="s">
        <v>280</v>
      </c>
      <c r="T43" s="2371" t="s">
        <v>281</v>
      </c>
      <c r="AA43" s="476"/>
    </row>
    <row r="44" spans="1:40" ht="15.75" customHeight="1">
      <c r="A44" s="535"/>
      <c r="B44" s="2426"/>
      <c r="C44" s="2427"/>
      <c r="D44" s="536" t="s">
        <v>574</v>
      </c>
      <c r="E44" s="536" t="s">
        <v>575</v>
      </c>
      <c r="F44" s="536" t="s">
        <v>576</v>
      </c>
      <c r="G44" s="536"/>
      <c r="H44" s="536"/>
      <c r="I44" s="536"/>
      <c r="J44" s="536"/>
      <c r="K44" s="537" t="s">
        <v>601</v>
      </c>
      <c r="L44" s="537" t="s">
        <v>577</v>
      </c>
      <c r="M44" s="537" t="s">
        <v>578</v>
      </c>
      <c r="N44" s="538" t="s">
        <v>579</v>
      </c>
      <c r="O44" s="539" t="s">
        <v>580</v>
      </c>
      <c r="P44" s="1614" t="s">
        <v>581</v>
      </c>
      <c r="Q44" s="2374"/>
      <c r="R44" s="2372"/>
      <c r="S44" s="2372"/>
      <c r="T44" s="2372"/>
      <c r="U44" s="476"/>
      <c r="V44" s="476"/>
      <c r="W44" s="476"/>
      <c r="X44" s="476"/>
      <c r="Z44" s="472"/>
      <c r="AA44" s="476"/>
      <c r="AB44" s="472"/>
      <c r="AC44" s="472"/>
      <c r="AD44" s="472"/>
      <c r="AE44" s="472"/>
      <c r="AF44" s="472"/>
      <c r="AG44" s="472"/>
      <c r="AH44" s="472"/>
      <c r="AI44" s="472"/>
      <c r="AJ44" s="472"/>
      <c r="AK44" s="472"/>
      <c r="AL44" s="472"/>
      <c r="AM44" s="472"/>
      <c r="AN44" s="472"/>
    </row>
    <row r="45" spans="1:40" ht="9.75" customHeight="1">
      <c r="A45" s="535" t="str">
        <f>A7</f>
        <v>коровы план</v>
      </c>
      <c r="B45" s="2341">
        <f>AE7</f>
        <v>307.55549999999999</v>
      </c>
      <c r="C45" s="2342"/>
      <c r="D45" s="512">
        <f>B45</f>
        <v>307.55549999999999</v>
      </c>
      <c r="E45" s="512"/>
      <c r="F45" s="512"/>
      <c r="G45" s="512"/>
      <c r="H45" s="512"/>
      <c r="I45" s="512"/>
      <c r="J45" s="512"/>
      <c r="K45" s="1233">
        <f>SUM(D45:J45)</f>
        <v>307.55549999999999</v>
      </c>
      <c r="L45" s="512">
        <f>0.5*AA7/1000</f>
        <v>0</v>
      </c>
      <c r="M45" s="512"/>
      <c r="N45" s="512">
        <f>35*AB7/1000</f>
        <v>1537.7774999999999</v>
      </c>
      <c r="O45" s="512">
        <f>4*AB7/1000</f>
        <v>175.74600000000001</v>
      </c>
      <c r="P45" s="512">
        <f>0.09*AA7/1000</f>
        <v>0</v>
      </c>
      <c r="Q45" s="603">
        <f>D95</f>
        <v>66366.083249999996</v>
      </c>
      <c r="R45" s="600">
        <f>E93</f>
        <v>6401.5480500000003</v>
      </c>
      <c r="S45" s="604"/>
      <c r="T45" s="605">
        <f>R45/Q45*10</f>
        <v>0.96458126448195969</v>
      </c>
      <c r="U45" s="476"/>
      <c r="V45" s="476"/>
      <c r="W45" s="476"/>
      <c r="X45" s="476"/>
      <c r="Z45" s="472"/>
      <c r="AA45" s="476"/>
      <c r="AB45" s="472"/>
      <c r="AC45" s="472"/>
      <c r="AD45" s="472"/>
      <c r="AE45" s="472"/>
      <c r="AF45" s="472"/>
      <c r="AG45" s="472"/>
      <c r="AH45" s="472"/>
      <c r="AI45" s="472"/>
      <c r="AJ45" s="472"/>
      <c r="AK45" s="472"/>
      <c r="AL45" s="472"/>
      <c r="AM45" s="472"/>
      <c r="AN45" s="472"/>
    </row>
    <row r="46" spans="1:40" ht="10.5" customHeight="1" outlineLevel="1">
      <c r="A46" s="543" t="s">
        <v>16</v>
      </c>
      <c r="B46" s="2341">
        <f>K46+L46+M46</f>
        <v>1624.06</v>
      </c>
      <c r="C46" s="2342"/>
      <c r="D46" s="2167">
        <v>291.92200000000003</v>
      </c>
      <c r="E46" s="2167"/>
      <c r="F46" s="2167">
        <v>2.65</v>
      </c>
      <c r="G46" s="607"/>
      <c r="H46" s="607"/>
      <c r="I46" s="608"/>
      <c r="J46" s="608"/>
      <c r="K46" s="1233">
        <f>SUM(D46:J46)</f>
        <v>294.572</v>
      </c>
      <c r="L46" s="1790">
        <v>30.457999999999998</v>
      </c>
      <c r="M46" s="1790">
        <v>1299.03</v>
      </c>
      <c r="N46" s="1790">
        <f>1098.595+83.16</f>
        <v>1181.7550000000001</v>
      </c>
      <c r="O46" s="1790">
        <v>21.466999999999999</v>
      </c>
      <c r="P46" s="1790">
        <v>0.1242</v>
      </c>
      <c r="Q46" s="603"/>
      <c r="R46" s="600"/>
      <c r="S46" s="608"/>
      <c r="T46" s="605"/>
      <c r="V46" s="472"/>
      <c r="W46" s="472"/>
      <c r="X46" s="472"/>
      <c r="Z46" s="472"/>
      <c r="AA46" s="476"/>
      <c r="AB46" s="472"/>
      <c r="AC46" s="472"/>
      <c r="AD46" s="472"/>
      <c r="AE46" s="472"/>
      <c r="AF46" s="472"/>
      <c r="AG46" s="472"/>
      <c r="AH46" s="472"/>
      <c r="AI46" s="472"/>
      <c r="AJ46" s="472"/>
      <c r="AK46" s="472"/>
      <c r="AL46" s="472"/>
      <c r="AM46" s="472"/>
      <c r="AN46" s="472"/>
    </row>
    <row r="47" spans="1:40" s="522" customFormat="1" ht="11.25" customHeight="1" outlineLevel="1">
      <c r="A47" s="547" t="s">
        <v>17</v>
      </c>
      <c r="B47" s="2343">
        <f>B46-B45</f>
        <v>1316.5045</v>
      </c>
      <c r="C47" s="2344"/>
      <c r="D47" s="732"/>
      <c r="E47" s="732"/>
      <c r="F47" s="732"/>
      <c r="G47" s="732"/>
      <c r="H47" s="732"/>
      <c r="I47" s="732">
        <f>I46-I45</f>
        <v>0</v>
      </c>
      <c r="J47" s="732">
        <f>J46-J45</f>
        <v>0</v>
      </c>
      <c r="K47" s="732">
        <f t="shared" ref="K47:P47" si="105">K46-K45</f>
        <v>-12.983499999999992</v>
      </c>
      <c r="L47" s="732"/>
      <c r="M47" s="732"/>
      <c r="N47" s="732">
        <f t="shared" si="105"/>
        <v>-356.02249999999981</v>
      </c>
      <c r="O47" s="732">
        <f t="shared" si="105"/>
        <v>-154.279</v>
      </c>
      <c r="P47" s="732">
        <f t="shared" si="105"/>
        <v>0.1242</v>
      </c>
      <c r="Q47" s="904">
        <f>Q46-Q45</f>
        <v>-66366.083249999996</v>
      </c>
      <c r="R47" s="904">
        <f>R46-R45</f>
        <v>-6401.5480500000003</v>
      </c>
      <c r="S47" s="904">
        <f>S46-S45</f>
        <v>0</v>
      </c>
      <c r="T47" s="904">
        <f>T46-T45</f>
        <v>-0.96458126448195969</v>
      </c>
      <c r="AA47" s="476"/>
    </row>
    <row r="48" spans="1:40" ht="9.75" customHeight="1">
      <c r="A48" s="535" t="str">
        <f>A10</f>
        <v>нетели план</v>
      </c>
      <c r="B48" s="2341">
        <f>AE10</f>
        <v>16.181999999999999</v>
      </c>
      <c r="C48" s="2342"/>
      <c r="D48" s="591">
        <f>B48</f>
        <v>16.181999999999999</v>
      </c>
      <c r="E48" s="591"/>
      <c r="F48" s="591"/>
      <c r="G48" s="512"/>
      <c r="H48" s="512"/>
      <c r="I48" s="512"/>
      <c r="J48" s="512"/>
      <c r="K48" s="1233">
        <f>SUM(D48:J48)</f>
        <v>16.181999999999999</v>
      </c>
      <c r="L48" s="512">
        <f>0.5*AA10/1000</f>
        <v>0</v>
      </c>
      <c r="M48" s="512"/>
      <c r="N48" s="512">
        <f>35*AB10/1000</f>
        <v>188.79</v>
      </c>
      <c r="O48" s="512">
        <f>4*AB10/1000</f>
        <v>21.576000000000001</v>
      </c>
      <c r="P48" s="512">
        <f>0.09*AA10/1000</f>
        <v>0</v>
      </c>
      <c r="Q48" s="603">
        <f>F95</f>
        <v>7921.0889999999999</v>
      </c>
      <c r="R48" s="600">
        <f>G93</f>
        <v>501.10259999999994</v>
      </c>
      <c r="S48" s="604"/>
      <c r="T48" s="605">
        <f>R48/Q48*10</f>
        <v>0.63261831801157631</v>
      </c>
      <c r="V48" s="472"/>
      <c r="W48" s="472"/>
      <c r="X48" s="472"/>
      <c r="Z48" s="472"/>
      <c r="AA48" s="474"/>
      <c r="AB48" s="472"/>
      <c r="AC48" s="472"/>
      <c r="AD48" s="472"/>
      <c r="AE48" s="472"/>
      <c r="AF48" s="472"/>
      <c r="AG48" s="472"/>
      <c r="AH48" s="472"/>
      <c r="AI48" s="472"/>
      <c r="AJ48" s="472"/>
      <c r="AK48" s="472"/>
      <c r="AL48" s="472"/>
      <c r="AM48" s="472"/>
      <c r="AN48" s="472"/>
    </row>
    <row r="49" spans="1:40" ht="10.5" customHeight="1" outlineLevel="1">
      <c r="A49" s="543" t="s">
        <v>16</v>
      </c>
      <c r="B49" s="2341">
        <f>K49+L49+M49</f>
        <v>0</v>
      </c>
      <c r="C49" s="2342"/>
      <c r="D49" s="607"/>
      <c r="E49" s="607"/>
      <c r="F49" s="607"/>
      <c r="G49" s="607"/>
      <c r="H49" s="607"/>
      <c r="I49" s="608"/>
      <c r="J49" s="608"/>
      <c r="K49" s="1233">
        <f>SUM(D49:J49)</f>
        <v>0</v>
      </c>
      <c r="L49" s="608"/>
      <c r="M49" s="608"/>
      <c r="N49" s="608"/>
      <c r="O49" s="608"/>
      <c r="P49" s="608"/>
      <c r="Q49" s="603"/>
      <c r="R49" s="600"/>
      <c r="S49" s="608"/>
      <c r="T49" s="605"/>
      <c r="V49" s="472"/>
      <c r="W49" s="472"/>
      <c r="X49" s="472"/>
      <c r="Z49" s="472"/>
      <c r="AA49" s="476"/>
      <c r="AB49" s="472"/>
      <c r="AC49" s="472"/>
      <c r="AD49" s="472"/>
      <c r="AE49" s="472"/>
      <c r="AF49" s="472"/>
      <c r="AG49" s="472"/>
      <c r="AH49" s="472"/>
      <c r="AI49" s="472"/>
      <c r="AJ49" s="472"/>
      <c r="AK49" s="472"/>
      <c r="AL49" s="472"/>
      <c r="AM49" s="472"/>
      <c r="AN49" s="472"/>
    </row>
    <row r="50" spans="1:40" s="522" customFormat="1" ht="11.25" customHeight="1" outlineLevel="1">
      <c r="A50" s="547" t="s">
        <v>17</v>
      </c>
      <c r="B50" s="2343">
        <f>B49-B48</f>
        <v>-16.181999999999999</v>
      </c>
      <c r="C50" s="2344"/>
      <c r="D50" s="732"/>
      <c r="E50" s="732"/>
      <c r="F50" s="732"/>
      <c r="G50" s="732"/>
      <c r="H50" s="732"/>
      <c r="I50" s="732">
        <f>I49-I48</f>
        <v>0</v>
      </c>
      <c r="J50" s="732">
        <f>J49-J48</f>
        <v>0</v>
      </c>
      <c r="K50" s="732">
        <f>K49-K48</f>
        <v>-16.181999999999999</v>
      </c>
      <c r="L50" s="732"/>
      <c r="M50" s="732"/>
      <c r="N50" s="732">
        <f t="shared" ref="N50:T50" si="106">N49-N48</f>
        <v>-188.79</v>
      </c>
      <c r="O50" s="732">
        <f t="shared" si="106"/>
        <v>-21.576000000000001</v>
      </c>
      <c r="P50" s="732">
        <f t="shared" si="106"/>
        <v>0</v>
      </c>
      <c r="Q50" s="904">
        <f t="shared" si="106"/>
        <v>-7921.0889999999999</v>
      </c>
      <c r="R50" s="904">
        <f t="shared" si="106"/>
        <v>-501.10259999999994</v>
      </c>
      <c r="S50" s="904">
        <f t="shared" si="106"/>
        <v>0</v>
      </c>
      <c r="T50" s="904">
        <f t="shared" si="106"/>
        <v>-0.63261831801157631</v>
      </c>
      <c r="AA50" s="476"/>
    </row>
    <row r="51" spans="1:40" ht="9.75" customHeight="1">
      <c r="A51" s="535" t="str">
        <f>A13</f>
        <v>тел. 15 г. план</v>
      </c>
      <c r="B51" s="2341">
        <f>AE13</f>
        <v>27.518999999999998</v>
      </c>
      <c r="C51" s="2342"/>
      <c r="D51" s="591"/>
      <c r="E51" s="591"/>
      <c r="F51" s="591">
        <f>B51</f>
        <v>27.518999999999998</v>
      </c>
      <c r="G51" s="512"/>
      <c r="H51" s="512"/>
      <c r="I51" s="512"/>
      <c r="J51" s="512"/>
      <c r="K51" s="1233">
        <f>SUM(D51:J51)</f>
        <v>27.518999999999998</v>
      </c>
      <c r="L51" s="512"/>
      <c r="M51" s="512"/>
      <c r="N51" s="512">
        <f>30*AB13/1000</f>
        <v>275.19</v>
      </c>
      <c r="O51" s="512">
        <f>3*AB13/1000</f>
        <v>27.518999999999998</v>
      </c>
      <c r="P51" s="512">
        <f>0.07*AA13/1000</f>
        <v>0.64210999999999996</v>
      </c>
      <c r="Q51" s="603">
        <f>H95</f>
        <v>11227.752</v>
      </c>
      <c r="R51" s="600">
        <f>I93</f>
        <v>796.91629990000001</v>
      </c>
      <c r="S51" s="604"/>
      <c r="T51" s="605">
        <f>R51/Q51*10</f>
        <v>0.70977369281045755</v>
      </c>
      <c r="V51" s="472"/>
      <c r="W51" s="472"/>
      <c r="X51" s="472"/>
      <c r="Z51" s="472"/>
      <c r="AA51" s="476"/>
      <c r="AB51" s="472"/>
      <c r="AC51" s="472"/>
      <c r="AD51" s="472"/>
      <c r="AE51" s="472"/>
      <c r="AF51" s="472"/>
      <c r="AG51" s="472"/>
      <c r="AH51" s="472"/>
      <c r="AI51" s="472"/>
      <c r="AJ51" s="472"/>
      <c r="AK51" s="472"/>
      <c r="AL51" s="472"/>
      <c r="AM51" s="472"/>
      <c r="AN51" s="472"/>
    </row>
    <row r="52" spans="1:40" ht="10.5" customHeight="1" outlineLevel="1">
      <c r="A52" s="543" t="s">
        <v>16</v>
      </c>
      <c r="B52" s="2341">
        <f>K52+L52+M52</f>
        <v>0</v>
      </c>
      <c r="C52" s="2342"/>
      <c r="D52" s="607"/>
      <c r="E52" s="607"/>
      <c r="F52" s="607"/>
      <c r="G52" s="607"/>
      <c r="H52" s="607"/>
      <c r="I52" s="608"/>
      <c r="J52" s="608"/>
      <c r="K52" s="1233">
        <f>SUM(D52:J52)</f>
        <v>0</v>
      </c>
      <c r="L52" s="608"/>
      <c r="M52" s="608"/>
      <c r="N52" s="608"/>
      <c r="O52" s="608"/>
      <c r="P52" s="608"/>
      <c r="Q52" s="603"/>
      <c r="R52" s="600"/>
      <c r="S52" s="608"/>
      <c r="T52" s="605"/>
      <c r="V52" s="472"/>
      <c r="W52" s="472"/>
      <c r="X52" s="472"/>
      <c r="Z52" s="472"/>
      <c r="AA52" s="476"/>
      <c r="AB52" s="472"/>
      <c r="AC52" s="472"/>
      <c r="AD52" s="472"/>
      <c r="AE52" s="472"/>
      <c r="AF52" s="472"/>
      <c r="AG52" s="472"/>
      <c r="AH52" s="472"/>
      <c r="AI52" s="472"/>
      <c r="AJ52" s="472"/>
      <c r="AK52" s="472"/>
      <c r="AL52" s="472"/>
      <c r="AM52" s="472"/>
      <c r="AN52" s="472"/>
    </row>
    <row r="53" spans="1:40" s="522" customFormat="1" ht="11.25" customHeight="1" outlineLevel="1">
      <c r="A53" s="547" t="s">
        <v>17</v>
      </c>
      <c r="B53" s="2343">
        <f>B52-B51</f>
        <v>-27.518999999999998</v>
      </c>
      <c r="C53" s="2344"/>
      <c r="D53" s="732"/>
      <c r="E53" s="732"/>
      <c r="F53" s="732"/>
      <c r="G53" s="732"/>
      <c r="H53" s="732"/>
      <c r="I53" s="732">
        <f>I52-I51</f>
        <v>0</v>
      </c>
      <c r="J53" s="732">
        <f>J52-J51</f>
        <v>0</v>
      </c>
      <c r="K53" s="732">
        <f>K52-K51</f>
        <v>-27.518999999999998</v>
      </c>
      <c r="L53" s="732"/>
      <c r="M53" s="732"/>
      <c r="N53" s="732">
        <f t="shared" ref="N53:T53" si="107">N52-N51</f>
        <v>-275.19</v>
      </c>
      <c r="O53" s="732">
        <f t="shared" si="107"/>
        <v>-27.518999999999998</v>
      </c>
      <c r="P53" s="732">
        <f t="shared" si="107"/>
        <v>-0.64210999999999996</v>
      </c>
      <c r="Q53" s="904">
        <f t="shared" si="107"/>
        <v>-11227.752</v>
      </c>
      <c r="R53" s="904">
        <f t="shared" si="107"/>
        <v>-796.91629990000001</v>
      </c>
      <c r="S53" s="904">
        <f t="shared" si="107"/>
        <v>0</v>
      </c>
      <c r="T53" s="904">
        <f t="shared" si="107"/>
        <v>-0.70977369281045755</v>
      </c>
      <c r="AA53" s="476"/>
    </row>
    <row r="54" spans="1:40" ht="9.75" customHeight="1">
      <c r="A54" s="535" t="str">
        <f>A16</f>
        <v>быч. 15 г. план</v>
      </c>
      <c r="B54" s="2341">
        <f>AE16</f>
        <v>5.4089999999999998</v>
      </c>
      <c r="C54" s="2342"/>
      <c r="D54" s="591"/>
      <c r="E54" s="591"/>
      <c r="F54" s="591">
        <f>B54</f>
        <v>5.4089999999999998</v>
      </c>
      <c r="G54" s="591"/>
      <c r="H54" s="591"/>
      <c r="I54" s="591"/>
      <c r="J54" s="591"/>
      <c r="K54" s="1233">
        <f>SUM(D54:J54)</f>
        <v>5.4089999999999998</v>
      </c>
      <c r="L54" s="512"/>
      <c r="M54" s="512"/>
      <c r="N54" s="512">
        <f>30*AB16/1000</f>
        <v>54.09</v>
      </c>
      <c r="O54" s="512">
        <f>3*AB16/1000</f>
        <v>5.4089999999999998</v>
      </c>
      <c r="P54" s="512">
        <f>0.07*AA16/1000</f>
        <v>0.12621000000000002</v>
      </c>
      <c r="Q54" s="603">
        <f>J95</f>
        <v>2206.8720000000003</v>
      </c>
      <c r="R54" s="600">
        <f>K93</f>
        <v>156.6379689</v>
      </c>
      <c r="S54" s="605">
        <f>Q54/(L16-T16)/10</f>
        <v>278.64545454545453</v>
      </c>
      <c r="T54" s="605">
        <f>R54/Q54*10</f>
        <v>0.70977369281045743</v>
      </c>
      <c r="U54" s="476"/>
      <c r="V54" s="476"/>
      <c r="W54" s="476"/>
      <c r="X54" s="476"/>
      <c r="Z54" s="472"/>
      <c r="AA54" s="476"/>
      <c r="AB54" s="472"/>
      <c r="AC54" s="472"/>
      <c r="AD54" s="472"/>
      <c r="AE54" s="472"/>
      <c r="AF54" s="472"/>
      <c r="AG54" s="472"/>
      <c r="AH54" s="472"/>
      <c r="AI54" s="472"/>
      <c r="AJ54" s="472"/>
      <c r="AK54" s="472"/>
      <c r="AL54" s="472"/>
      <c r="AM54" s="472"/>
      <c r="AN54" s="472"/>
    </row>
    <row r="55" spans="1:40" ht="10.5" customHeight="1" outlineLevel="1">
      <c r="A55" s="543" t="s">
        <v>16</v>
      </c>
      <c r="B55" s="2341">
        <f>K55+L55+M55</f>
        <v>0</v>
      </c>
      <c r="C55" s="2342"/>
      <c r="D55" s="607"/>
      <c r="E55" s="607"/>
      <c r="F55" s="607"/>
      <c r="G55" s="607"/>
      <c r="H55" s="607"/>
      <c r="I55" s="608"/>
      <c r="J55" s="608"/>
      <c r="K55" s="1233">
        <f>SUM(D55:J55)</f>
        <v>0</v>
      </c>
      <c r="L55" s="608"/>
      <c r="M55" s="608"/>
      <c r="N55" s="608"/>
      <c r="O55" s="608"/>
      <c r="P55" s="608"/>
      <c r="Q55" s="603"/>
      <c r="R55" s="600"/>
      <c r="S55" s="605"/>
      <c r="T55" s="605"/>
      <c r="V55" s="472"/>
      <c r="W55" s="472"/>
      <c r="X55" s="472"/>
      <c r="Z55" s="472"/>
      <c r="AA55" s="476"/>
      <c r="AB55" s="472"/>
      <c r="AC55" s="472"/>
      <c r="AD55" s="472"/>
      <c r="AE55" s="472"/>
      <c r="AF55" s="472"/>
      <c r="AG55" s="472"/>
      <c r="AH55" s="472"/>
      <c r="AI55" s="472"/>
      <c r="AJ55" s="472"/>
      <c r="AK55" s="472"/>
      <c r="AL55" s="472"/>
      <c r="AM55" s="472"/>
      <c r="AN55" s="472"/>
    </row>
    <row r="56" spans="1:40" s="522" customFormat="1" ht="11.25" customHeight="1" outlineLevel="1">
      <c r="A56" s="547" t="s">
        <v>17</v>
      </c>
      <c r="B56" s="2343">
        <f>B55-B54</f>
        <v>-5.4089999999999998</v>
      </c>
      <c r="C56" s="2344"/>
      <c r="D56" s="732"/>
      <c r="E56" s="732"/>
      <c r="F56" s="732"/>
      <c r="G56" s="732"/>
      <c r="H56" s="732"/>
      <c r="I56" s="732">
        <f>I55-I54</f>
        <v>0</v>
      </c>
      <c r="J56" s="732">
        <f>J55-J54</f>
        <v>0</v>
      </c>
      <c r="K56" s="732">
        <f>K55-K54</f>
        <v>-5.4089999999999998</v>
      </c>
      <c r="L56" s="732"/>
      <c r="M56" s="732"/>
      <c r="N56" s="732">
        <f t="shared" ref="N56:T56" si="108">N55-N54</f>
        <v>-54.09</v>
      </c>
      <c r="O56" s="732">
        <f t="shared" si="108"/>
        <v>-5.4089999999999998</v>
      </c>
      <c r="P56" s="732">
        <f t="shared" si="108"/>
        <v>-0.12621000000000002</v>
      </c>
      <c r="Q56" s="904">
        <f t="shared" si="108"/>
        <v>-2206.8720000000003</v>
      </c>
      <c r="R56" s="904">
        <f t="shared" si="108"/>
        <v>-156.6379689</v>
      </c>
      <c r="S56" s="904">
        <f t="shared" si="108"/>
        <v>-278.64545454545453</v>
      </c>
      <c r="T56" s="904">
        <f t="shared" si="108"/>
        <v>-0.70977369281045743</v>
      </c>
      <c r="AA56" s="476"/>
    </row>
    <row r="57" spans="1:40" ht="11.25" customHeight="1">
      <c r="A57" s="535" t="str">
        <f>A19</f>
        <v>тел. 16 г. план</v>
      </c>
      <c r="B57" s="2341">
        <f>AE19</f>
        <v>36.664999999999999</v>
      </c>
      <c r="C57" s="2342"/>
      <c r="D57" s="512"/>
      <c r="E57" s="512">
        <f>B57*30%</f>
        <v>10.999499999999999</v>
      </c>
      <c r="F57" s="591">
        <f>B57*70%</f>
        <v>25.665499999999998</v>
      </c>
      <c r="G57" s="512"/>
      <c r="H57" s="512"/>
      <c r="I57" s="512"/>
      <c r="J57" s="512"/>
      <c r="K57" s="1233">
        <f>SUM(D57:J57)</f>
        <v>36.664999999999999</v>
      </c>
      <c r="L57" s="512"/>
      <c r="M57" s="512"/>
      <c r="N57" s="512">
        <f>20*AA19/1000</f>
        <v>293.32</v>
      </c>
      <c r="O57" s="512">
        <f>3*AA19/1000</f>
        <v>43.997999999999998</v>
      </c>
      <c r="P57" s="512">
        <f>0.04*AA19/1000</f>
        <v>0.58663999999999994</v>
      </c>
      <c r="Q57" s="603">
        <f>L95</f>
        <v>12590.394349999999</v>
      </c>
      <c r="R57" s="600">
        <f>M93</f>
        <v>1021.4201696999999</v>
      </c>
      <c r="S57" s="605">
        <f>Q57/(L19-T19)/10</f>
        <v>116.51299602072922</v>
      </c>
      <c r="T57" s="605">
        <f>R57/Q57*10</f>
        <v>0.8112694021375112</v>
      </c>
      <c r="U57" s="476"/>
      <c r="V57" s="476"/>
      <c r="W57" s="476"/>
      <c r="X57" s="476"/>
      <c r="Z57" s="472"/>
      <c r="AA57" s="476"/>
      <c r="AB57" s="472"/>
      <c r="AC57" s="472"/>
      <c r="AD57" s="472"/>
      <c r="AE57" s="472"/>
      <c r="AF57" s="472"/>
      <c r="AG57" s="472"/>
      <c r="AH57" s="472"/>
      <c r="AI57" s="472"/>
      <c r="AJ57" s="472"/>
      <c r="AK57" s="472"/>
      <c r="AL57" s="472"/>
      <c r="AM57" s="472"/>
      <c r="AN57" s="472"/>
    </row>
    <row r="58" spans="1:40" ht="10.5" customHeight="1" outlineLevel="1">
      <c r="A58" s="543" t="s">
        <v>16</v>
      </c>
      <c r="B58" s="2341">
        <f>K58+L58+M58</f>
        <v>0</v>
      </c>
      <c r="C58" s="2342"/>
      <c r="D58" s="607"/>
      <c r="E58" s="607"/>
      <c r="F58" s="607"/>
      <c r="G58" s="607"/>
      <c r="H58" s="607"/>
      <c r="I58" s="608"/>
      <c r="J58" s="608"/>
      <c r="K58" s="1233">
        <f>SUM(D58:J58)</f>
        <v>0</v>
      </c>
      <c r="L58" s="608"/>
      <c r="M58" s="608"/>
      <c r="N58" s="608"/>
      <c r="O58" s="608"/>
      <c r="P58" s="608"/>
      <c r="Q58" s="603"/>
      <c r="R58" s="600"/>
      <c r="S58" s="605"/>
      <c r="T58" s="605"/>
      <c r="V58" s="472"/>
      <c r="W58" s="472"/>
      <c r="X58" s="472"/>
      <c r="Z58" s="472"/>
      <c r="AA58" s="476"/>
      <c r="AB58" s="472"/>
      <c r="AC58" s="472"/>
      <c r="AD58" s="472"/>
      <c r="AE58" s="472"/>
      <c r="AF58" s="472"/>
      <c r="AG58" s="472"/>
      <c r="AH58" s="472"/>
      <c r="AI58" s="472"/>
      <c r="AJ58" s="472"/>
      <c r="AK58" s="472"/>
      <c r="AL58" s="472"/>
      <c r="AM58" s="472"/>
      <c r="AN58" s="472"/>
    </row>
    <row r="59" spans="1:40" s="522" customFormat="1" ht="11.25" customHeight="1" outlineLevel="1">
      <c r="A59" s="547" t="s">
        <v>17</v>
      </c>
      <c r="B59" s="2343">
        <f>B58-B57</f>
        <v>-36.664999999999999</v>
      </c>
      <c r="C59" s="2344"/>
      <c r="D59" s="732"/>
      <c r="E59" s="732"/>
      <c r="F59" s="732"/>
      <c r="G59" s="732"/>
      <c r="H59" s="732"/>
      <c r="I59" s="732">
        <f>I58-I57</f>
        <v>0</v>
      </c>
      <c r="J59" s="732">
        <f>J58-J57</f>
        <v>0</v>
      </c>
      <c r="K59" s="732">
        <f>K58-K57</f>
        <v>-36.664999999999999</v>
      </c>
      <c r="L59" s="732"/>
      <c r="M59" s="732"/>
      <c r="N59" s="732">
        <f t="shared" ref="N59:T59" si="109">N58-N57</f>
        <v>-293.32</v>
      </c>
      <c r="O59" s="732"/>
      <c r="P59" s="732">
        <f t="shared" si="109"/>
        <v>-0.58663999999999994</v>
      </c>
      <c r="Q59" s="904">
        <f t="shared" si="109"/>
        <v>-12590.394349999999</v>
      </c>
      <c r="R59" s="904">
        <f t="shared" si="109"/>
        <v>-1021.4201696999999</v>
      </c>
      <c r="S59" s="904">
        <f t="shared" si="109"/>
        <v>-116.51299602072922</v>
      </c>
      <c r="T59" s="904">
        <f t="shared" si="109"/>
        <v>-0.8112694021375112</v>
      </c>
      <c r="AA59" s="476"/>
    </row>
    <row r="60" spans="1:40" ht="11.25" customHeight="1">
      <c r="A60" s="535" t="str">
        <f>A22</f>
        <v>быч. 16 г. план</v>
      </c>
      <c r="B60" s="2341">
        <f>AE22</f>
        <v>41.375</v>
      </c>
      <c r="C60" s="2342"/>
      <c r="D60" s="512"/>
      <c r="E60" s="512">
        <f>B60*30%</f>
        <v>12.4125</v>
      </c>
      <c r="F60" s="591">
        <f>B60*70%</f>
        <v>28.962499999999999</v>
      </c>
      <c r="G60" s="512"/>
      <c r="H60" s="512"/>
      <c r="I60" s="512"/>
      <c r="J60" s="512"/>
      <c r="K60" s="1233">
        <f>SUM(D60:J60)</f>
        <v>41.375</v>
      </c>
      <c r="L60" s="512"/>
      <c r="M60" s="512"/>
      <c r="N60" s="512">
        <f>20*AA22/1000</f>
        <v>331</v>
      </c>
      <c r="O60" s="512">
        <f>3*AA22/1000</f>
        <v>49.65</v>
      </c>
      <c r="P60" s="512">
        <f>0.04*AA22/1000</f>
        <v>0.66200000000000003</v>
      </c>
      <c r="Q60" s="603">
        <f>N95</f>
        <v>14207.76125</v>
      </c>
      <c r="R60" s="600">
        <f>O93</f>
        <v>1152.6321974999998</v>
      </c>
      <c r="S60" s="605">
        <f>Q60/(L22-T22)/10</f>
        <v>113.66208999999999</v>
      </c>
      <c r="T60" s="605">
        <f>R60/Q60*10</f>
        <v>0.8112694021375112</v>
      </c>
      <c r="U60" s="476"/>
      <c r="V60" s="476"/>
      <c r="W60" s="476"/>
      <c r="X60" s="476"/>
      <c r="Y60" s="476"/>
      <c r="Z60" s="476"/>
      <c r="AA60" s="476"/>
      <c r="AB60" s="476"/>
      <c r="AC60" s="476"/>
      <c r="AD60" s="476"/>
      <c r="AE60" s="476"/>
      <c r="AF60" s="476"/>
      <c r="AG60" s="476"/>
      <c r="AH60" s="472"/>
      <c r="AI60" s="472"/>
      <c r="AJ60" s="472"/>
      <c r="AK60" s="472"/>
      <c r="AL60" s="472"/>
      <c r="AM60" s="472"/>
      <c r="AN60" s="472"/>
    </row>
    <row r="61" spans="1:40" ht="10.5" customHeight="1" outlineLevel="1">
      <c r="A61" s="543" t="s">
        <v>16</v>
      </c>
      <c r="B61" s="2341">
        <f>K61+L61+M61</f>
        <v>0</v>
      </c>
      <c r="C61" s="2342"/>
      <c r="D61" s="607"/>
      <c r="E61" s="607"/>
      <c r="F61" s="607"/>
      <c r="G61" s="607"/>
      <c r="H61" s="607"/>
      <c r="I61" s="608"/>
      <c r="J61" s="608"/>
      <c r="K61" s="1233">
        <f>SUM(D61:J61)</f>
        <v>0</v>
      </c>
      <c r="L61" s="608"/>
      <c r="M61" s="608"/>
      <c r="N61" s="608"/>
      <c r="O61" s="608"/>
      <c r="P61" s="608"/>
      <c r="Q61" s="603"/>
      <c r="R61" s="600"/>
      <c r="S61" s="605"/>
      <c r="T61" s="605"/>
      <c r="V61" s="472"/>
      <c r="W61" s="472"/>
      <c r="X61" s="472"/>
      <c r="Z61" s="472"/>
      <c r="AA61" s="476"/>
      <c r="AB61" s="472"/>
      <c r="AC61" s="472"/>
      <c r="AD61" s="472"/>
      <c r="AE61" s="472"/>
      <c r="AF61" s="472"/>
      <c r="AG61" s="472"/>
      <c r="AH61" s="472"/>
      <c r="AI61" s="472"/>
      <c r="AJ61" s="472"/>
      <c r="AK61" s="472"/>
      <c r="AL61" s="472"/>
      <c r="AM61" s="472"/>
      <c r="AN61" s="472"/>
    </row>
    <row r="62" spans="1:40" s="522" customFormat="1" ht="11.25" customHeight="1" outlineLevel="1">
      <c r="A62" s="547" t="s">
        <v>17</v>
      </c>
      <c r="B62" s="2343">
        <f>B61-B60</f>
        <v>-41.375</v>
      </c>
      <c r="C62" s="2344"/>
      <c r="D62" s="732">
        <f t="shared" ref="D62:J62" si="110">D61-D60</f>
        <v>0</v>
      </c>
      <c r="E62" s="732">
        <f t="shared" si="110"/>
        <v>-12.4125</v>
      </c>
      <c r="F62" s="732">
        <f t="shared" si="110"/>
        <v>-28.962499999999999</v>
      </c>
      <c r="G62" s="732">
        <f t="shared" si="110"/>
        <v>0</v>
      </c>
      <c r="H62" s="732">
        <f t="shared" si="110"/>
        <v>0</v>
      </c>
      <c r="I62" s="732">
        <f t="shared" si="110"/>
        <v>0</v>
      </c>
      <c r="J62" s="732">
        <f t="shared" si="110"/>
        <v>0</v>
      </c>
      <c r="K62" s="732">
        <f>K61-K60</f>
        <v>-41.375</v>
      </c>
      <c r="L62" s="732"/>
      <c r="M62" s="732"/>
      <c r="N62" s="732">
        <f t="shared" ref="N62:T62" si="111">N61-N60</f>
        <v>-331</v>
      </c>
      <c r="O62" s="732">
        <f t="shared" si="111"/>
        <v>-49.65</v>
      </c>
      <c r="P62" s="732">
        <f t="shared" si="111"/>
        <v>-0.66200000000000003</v>
      </c>
      <c r="Q62" s="904">
        <f t="shared" si="111"/>
        <v>-14207.76125</v>
      </c>
      <c r="R62" s="904">
        <f t="shared" si="111"/>
        <v>-1152.6321974999998</v>
      </c>
      <c r="S62" s="904">
        <f t="shared" si="111"/>
        <v>-113.66208999999999</v>
      </c>
      <c r="T62" s="904">
        <f t="shared" si="111"/>
        <v>-0.8112694021375112</v>
      </c>
      <c r="AA62" s="476"/>
    </row>
    <row r="63" spans="1:40" ht="11.25" customHeight="1">
      <c r="A63" s="535" t="str">
        <f>A25</f>
        <v>тел. 17 г. план</v>
      </c>
      <c r="B63" s="2341">
        <f>AE25</f>
        <v>3.6252499999999999</v>
      </c>
      <c r="C63" s="2342"/>
      <c r="D63" s="512"/>
      <c r="E63" s="512">
        <f>B63</f>
        <v>3.6252499999999999</v>
      </c>
      <c r="F63" s="512"/>
      <c r="G63" s="512"/>
      <c r="H63" s="512"/>
      <c r="I63" s="512"/>
      <c r="J63" s="512"/>
      <c r="K63" s="1233">
        <f>SUM(D63:J63)</f>
        <v>3.6252499999999999</v>
      </c>
      <c r="L63" s="512"/>
      <c r="M63" s="512"/>
      <c r="N63" s="512">
        <f>1*AA25/1000</f>
        <v>7.2504999999999997</v>
      </c>
      <c r="O63" s="512">
        <f>0.5*AA25/1000</f>
        <v>3.6252499999999999</v>
      </c>
      <c r="P63" s="512"/>
      <c r="Q63" s="603"/>
      <c r="R63" s="600"/>
      <c r="S63" s="605"/>
      <c r="T63" s="605"/>
      <c r="U63" s="476"/>
      <c r="V63" s="476"/>
      <c r="W63" s="476"/>
      <c r="X63" s="476"/>
      <c r="Z63" s="472"/>
      <c r="AA63" s="476"/>
      <c r="AB63" s="472"/>
      <c r="AC63" s="472"/>
      <c r="AD63" s="472"/>
      <c r="AE63" s="472"/>
      <c r="AF63" s="472"/>
      <c r="AG63" s="472"/>
      <c r="AH63" s="472"/>
      <c r="AI63" s="472"/>
      <c r="AJ63" s="472"/>
      <c r="AK63" s="472"/>
      <c r="AL63" s="472"/>
      <c r="AM63" s="472"/>
      <c r="AN63" s="472"/>
    </row>
    <row r="64" spans="1:40" ht="10.5" customHeight="1" outlineLevel="1">
      <c r="A64" s="543" t="s">
        <v>16</v>
      </c>
      <c r="B64" s="2341">
        <f>K64+L64+M64</f>
        <v>0</v>
      </c>
      <c r="C64" s="2342"/>
      <c r="D64" s="607"/>
      <c r="E64" s="607"/>
      <c r="F64" s="607"/>
      <c r="G64" s="607"/>
      <c r="H64" s="607"/>
      <c r="I64" s="608"/>
      <c r="J64" s="608"/>
      <c r="K64" s="1233">
        <f>SUM(D64:J64)</f>
        <v>0</v>
      </c>
      <c r="L64" s="608"/>
      <c r="M64" s="608"/>
      <c r="N64" s="608"/>
      <c r="O64" s="608"/>
      <c r="P64" s="608"/>
      <c r="Q64" s="603"/>
      <c r="R64" s="600"/>
      <c r="S64" s="605"/>
      <c r="T64" s="605"/>
      <c r="V64" s="472"/>
      <c r="W64" s="472"/>
      <c r="X64" s="472"/>
      <c r="Z64" s="472"/>
      <c r="AA64" s="476"/>
      <c r="AB64" s="472"/>
      <c r="AC64" s="472"/>
      <c r="AD64" s="472"/>
      <c r="AE64" s="472"/>
      <c r="AF64" s="472"/>
      <c r="AG64" s="472"/>
      <c r="AH64" s="472"/>
      <c r="AI64" s="472"/>
      <c r="AJ64" s="472"/>
      <c r="AK64" s="472"/>
      <c r="AL64" s="472"/>
      <c r="AM64" s="472"/>
      <c r="AN64" s="472"/>
    </row>
    <row r="65" spans="1:40" s="522" customFormat="1" ht="11.25" customHeight="1" outlineLevel="1">
      <c r="A65" s="547" t="s">
        <v>17</v>
      </c>
      <c r="B65" s="2343">
        <f>B64-B63</f>
        <v>-3.6252499999999999</v>
      </c>
      <c r="C65" s="2344"/>
      <c r="D65" s="732"/>
      <c r="E65" s="732"/>
      <c r="F65" s="732"/>
      <c r="G65" s="732"/>
      <c r="H65" s="732"/>
      <c r="I65" s="732">
        <f>I64-I63</f>
        <v>0</v>
      </c>
      <c r="J65" s="732">
        <f>J64-J63</f>
        <v>0</v>
      </c>
      <c r="K65" s="732">
        <f>K64-K63</f>
        <v>-3.6252499999999999</v>
      </c>
      <c r="L65" s="732"/>
      <c r="M65" s="732"/>
      <c r="N65" s="732">
        <f>N64-N63</f>
        <v>-7.2504999999999997</v>
      </c>
      <c r="O65" s="732"/>
      <c r="P65" s="732">
        <f>P64-P63</f>
        <v>0</v>
      </c>
      <c r="Q65" s="904">
        <f>Q64-Q63</f>
        <v>0</v>
      </c>
      <c r="R65" s="904">
        <f>R64-R63</f>
        <v>0</v>
      </c>
      <c r="S65" s="904">
        <f>S64-S63</f>
        <v>0</v>
      </c>
      <c r="T65" s="904">
        <f>T64-T63</f>
        <v>0</v>
      </c>
      <c r="AA65" s="476"/>
    </row>
    <row r="66" spans="1:40" ht="11.25" customHeight="1">
      <c r="A66" s="535" t="str">
        <f>A28</f>
        <v>быч. 17 г. план</v>
      </c>
      <c r="B66" s="2341">
        <f>AE28</f>
        <v>3.6635</v>
      </c>
      <c r="C66" s="2342"/>
      <c r="D66" s="512"/>
      <c r="E66" s="512">
        <f>B66</f>
        <v>3.6635</v>
      </c>
      <c r="F66" s="512"/>
      <c r="G66" s="512"/>
      <c r="H66" s="512"/>
      <c r="I66" s="512"/>
      <c r="J66" s="512"/>
      <c r="K66" s="1233">
        <f>SUM(D66:J66)</f>
        <v>3.6635</v>
      </c>
      <c r="L66" s="512"/>
      <c r="M66" s="512"/>
      <c r="N66" s="512">
        <f>1*AA28/1000</f>
        <v>7.327</v>
      </c>
      <c r="O66" s="512">
        <f>0.5*AA28/1000</f>
        <v>3.6635</v>
      </c>
      <c r="P66" s="512"/>
      <c r="Q66" s="603"/>
      <c r="R66" s="600"/>
      <c r="S66" s="605"/>
      <c r="T66" s="605"/>
      <c r="U66" s="476"/>
      <c r="V66" s="476"/>
      <c r="W66" s="476"/>
      <c r="X66" s="476"/>
      <c r="Y66" s="476"/>
      <c r="Z66" s="476"/>
      <c r="AA66" s="476"/>
      <c r="AB66" s="476"/>
      <c r="AC66" s="476"/>
      <c r="AD66" s="476"/>
      <c r="AE66" s="476"/>
      <c r="AF66" s="476"/>
      <c r="AG66" s="476"/>
      <c r="AH66" s="472"/>
      <c r="AI66" s="472"/>
      <c r="AJ66" s="472"/>
      <c r="AK66" s="472"/>
      <c r="AL66" s="472"/>
      <c r="AM66" s="472"/>
      <c r="AN66" s="472"/>
    </row>
    <row r="67" spans="1:40" ht="11.25" customHeight="1" collapsed="1">
      <c r="A67" s="535" t="s">
        <v>582</v>
      </c>
      <c r="B67" s="2341">
        <f>AE31</f>
        <v>2.9159999999999999</v>
      </c>
      <c r="C67" s="2342"/>
      <c r="D67" s="512"/>
      <c r="E67" s="512"/>
      <c r="F67" s="512">
        <f>B67</f>
        <v>2.9159999999999999</v>
      </c>
      <c r="G67" s="512"/>
      <c r="H67" s="591"/>
      <c r="I67" s="591"/>
      <c r="J67" s="512"/>
      <c r="K67" s="1233">
        <f>SUM(D67:J67)</f>
        <v>2.9159999999999999</v>
      </c>
      <c r="L67" s="512"/>
      <c r="M67" s="512"/>
      <c r="N67" s="512">
        <f>40*AA31/1000</f>
        <v>38.880000000000003</v>
      </c>
      <c r="O67" s="512">
        <f>5*AA31/1000</f>
        <v>4.8600000000000003</v>
      </c>
      <c r="P67" s="512">
        <f>0.09*AA31/1000</f>
        <v>8.7479999999999988E-2</v>
      </c>
      <c r="Q67" s="603">
        <f>P95</f>
        <v>386.81417500000003</v>
      </c>
      <c r="R67" s="600">
        <f>U93</f>
        <v>49.106244816</v>
      </c>
      <c r="S67" s="605" t="e">
        <f>Q67/(L31-T31)/10</f>
        <v>#DIV/0!</v>
      </c>
      <c r="T67" s="605">
        <f>R67/Q67*10</f>
        <v>1.2695047904074352</v>
      </c>
      <c r="U67" s="476"/>
      <c r="V67" s="476"/>
      <c r="W67" s="476"/>
      <c r="X67" s="476"/>
      <c r="Y67" s="476"/>
      <c r="Z67" s="476"/>
      <c r="AA67" s="476"/>
      <c r="AB67" s="476"/>
      <c r="AC67" s="476"/>
      <c r="AD67" s="476"/>
      <c r="AE67" s="476"/>
      <c r="AF67" s="476"/>
      <c r="AG67" s="476"/>
      <c r="AH67" s="472"/>
      <c r="AI67" s="472"/>
      <c r="AJ67" s="472"/>
      <c r="AK67" s="472"/>
      <c r="AL67" s="472"/>
      <c r="AM67" s="472"/>
      <c r="AN67" s="472"/>
    </row>
    <row r="68" spans="1:40" ht="10.5" customHeight="1" outlineLevel="1">
      <c r="A68" s="543" t="s">
        <v>16</v>
      </c>
      <c r="B68" s="2341">
        <f>K68+L68+M68</f>
        <v>0</v>
      </c>
      <c r="C68" s="2342"/>
      <c r="D68" s="607"/>
      <c r="E68" s="607"/>
      <c r="F68" s="607"/>
      <c r="G68" s="607"/>
      <c r="H68" s="607"/>
      <c r="I68" s="608"/>
      <c r="J68" s="608"/>
      <c r="K68" s="1233">
        <f>SUM(D68:J68)</f>
        <v>0</v>
      </c>
      <c r="L68" s="608"/>
      <c r="M68" s="608"/>
      <c r="N68" s="608"/>
      <c r="O68" s="608"/>
      <c r="P68" s="608"/>
      <c r="Q68" s="603"/>
      <c r="R68" s="603"/>
      <c r="S68" s="605"/>
      <c r="T68" s="605"/>
      <c r="V68" s="472"/>
      <c r="W68" s="472"/>
      <c r="X68" s="472"/>
      <c r="Z68" s="472"/>
      <c r="AA68" s="476"/>
      <c r="AB68" s="472"/>
      <c r="AC68" s="472"/>
      <c r="AD68" s="472"/>
      <c r="AE68" s="472"/>
      <c r="AF68" s="472"/>
      <c r="AG68" s="472"/>
      <c r="AH68" s="472"/>
      <c r="AI68" s="472"/>
      <c r="AJ68" s="472"/>
      <c r="AK68" s="472"/>
      <c r="AL68" s="472"/>
      <c r="AM68" s="472"/>
      <c r="AN68" s="472"/>
    </row>
    <row r="69" spans="1:40" s="522" customFormat="1" ht="11.25" customHeight="1" outlineLevel="1">
      <c r="A69" s="547" t="s">
        <v>17</v>
      </c>
      <c r="B69" s="2343">
        <f>B68-B67</f>
        <v>-2.9159999999999999</v>
      </c>
      <c r="C69" s="2344"/>
      <c r="D69" s="732">
        <f t="shared" ref="D69:T69" si="112">D68-D67</f>
        <v>0</v>
      </c>
      <c r="E69" s="732">
        <f t="shared" si="112"/>
        <v>0</v>
      </c>
      <c r="F69" s="732">
        <f t="shared" si="112"/>
        <v>-2.9159999999999999</v>
      </c>
      <c r="G69" s="732">
        <f t="shared" si="112"/>
        <v>0</v>
      </c>
      <c r="H69" s="732">
        <f t="shared" si="112"/>
        <v>0</v>
      </c>
      <c r="I69" s="732">
        <f t="shared" si="112"/>
        <v>0</v>
      </c>
      <c r="J69" s="732">
        <f t="shared" si="112"/>
        <v>0</v>
      </c>
      <c r="K69" s="732">
        <f t="shared" si="112"/>
        <v>-2.9159999999999999</v>
      </c>
      <c r="L69" s="732">
        <f t="shared" si="112"/>
        <v>0</v>
      </c>
      <c r="M69" s="732">
        <f t="shared" si="112"/>
        <v>0</v>
      </c>
      <c r="N69" s="732">
        <f t="shared" si="112"/>
        <v>-38.880000000000003</v>
      </c>
      <c r="O69" s="732">
        <f t="shared" si="112"/>
        <v>-4.8600000000000003</v>
      </c>
      <c r="P69" s="732">
        <f t="shared" si="112"/>
        <v>-8.7479999999999988E-2</v>
      </c>
      <c r="Q69" s="904">
        <f t="shared" si="112"/>
        <v>-386.81417500000003</v>
      </c>
      <c r="R69" s="904">
        <f t="shared" si="112"/>
        <v>-49.106244816</v>
      </c>
      <c r="S69" s="904" t="e">
        <f t="shared" si="112"/>
        <v>#DIV/0!</v>
      </c>
      <c r="T69" s="904">
        <f t="shared" si="112"/>
        <v>-1.2695047904074352</v>
      </c>
      <c r="AA69" s="476"/>
    </row>
    <row r="70" spans="1:40" s="480" customFormat="1" ht="11.25" customHeight="1">
      <c r="A70" s="548" t="s">
        <v>293</v>
      </c>
      <c r="B70" s="2345">
        <f>SUM(B45,B48,B51,B54,B57,B60,B67,B63,B66)</f>
        <v>444.91025000000002</v>
      </c>
      <c r="C70" s="2346"/>
      <c r="D70" s="611">
        <f>D45+D48+D51+D54+D57+D60+D67+D63+D66</f>
        <v>323.73750000000001</v>
      </c>
      <c r="E70" s="611">
        <f t="shared" ref="E70:P70" si="113">E45+E48+E51+E54+E57+E60+E67+E63+E66</f>
        <v>30.700749999999999</v>
      </c>
      <c r="F70" s="611">
        <f t="shared" si="113"/>
        <v>90.47199999999998</v>
      </c>
      <c r="G70" s="611">
        <f t="shared" si="113"/>
        <v>0</v>
      </c>
      <c r="H70" s="611">
        <f t="shared" si="113"/>
        <v>0</v>
      </c>
      <c r="I70" s="611">
        <f t="shared" si="113"/>
        <v>0</v>
      </c>
      <c r="J70" s="611">
        <f t="shared" si="113"/>
        <v>0</v>
      </c>
      <c r="K70" s="611">
        <f t="shared" si="113"/>
        <v>444.91025000000002</v>
      </c>
      <c r="L70" s="611">
        <f t="shared" si="113"/>
        <v>0</v>
      </c>
      <c r="M70" s="611">
        <f t="shared" si="113"/>
        <v>0</v>
      </c>
      <c r="N70" s="611">
        <f t="shared" si="113"/>
        <v>2733.6250000000005</v>
      </c>
      <c r="O70" s="611">
        <f t="shared" si="113"/>
        <v>336.04674999999997</v>
      </c>
      <c r="P70" s="1615">
        <f t="shared" si="113"/>
        <v>2.1044399999999999</v>
      </c>
      <c r="Q70" s="611">
        <f>Q45+Q48+Q51+Q54+Q57+Q60+Q67</f>
        <v>114906.76602500002</v>
      </c>
      <c r="R70" s="611">
        <f>R45+R48+R51+R54+R57+R60+R67</f>
        <v>10079.363530815999</v>
      </c>
      <c r="S70" s="612">
        <f>Q70/(E37+L37-T37+T7+T10)/10</f>
        <v>268.82863131236337</v>
      </c>
      <c r="T70" s="605">
        <f>R70/Q70*10</f>
        <v>0.87717754832844697</v>
      </c>
      <c r="V70" s="476"/>
      <c r="W70" s="476"/>
      <c r="X70" s="476"/>
      <c r="Y70" s="476"/>
      <c r="Z70" s="476"/>
      <c r="AA70" s="476"/>
      <c r="AB70" s="476"/>
    </row>
    <row r="71" spans="1:40" ht="10.5" customHeight="1" outlineLevel="1">
      <c r="A71" s="543" t="s">
        <v>16</v>
      </c>
      <c r="B71" s="2349">
        <f>J71+K71+L71</f>
        <v>1624.06</v>
      </c>
      <c r="C71" s="2350"/>
      <c r="D71" s="549">
        <f>D46+D49+D52+D55+D58+D61+D68</f>
        <v>291.92200000000003</v>
      </c>
      <c r="E71" s="549">
        <f>E46+E49+E52+E55+E58+E61+E68</f>
        <v>0</v>
      </c>
      <c r="F71" s="549">
        <f>F46+F49+F52+F55+F58+F61+F68</f>
        <v>2.65</v>
      </c>
      <c r="G71" s="549">
        <f t="shared" ref="G71:Q71" si="114">H46+H49+H52+H55+H58+H61+H68</f>
        <v>0</v>
      </c>
      <c r="H71" s="549">
        <f t="shared" si="114"/>
        <v>0</v>
      </c>
      <c r="I71" s="549">
        <f t="shared" si="114"/>
        <v>0</v>
      </c>
      <c r="J71" s="549">
        <f t="shared" si="114"/>
        <v>294.572</v>
      </c>
      <c r="K71" s="549">
        <f t="shared" si="114"/>
        <v>30.457999999999998</v>
      </c>
      <c r="L71" s="549">
        <f t="shared" si="114"/>
        <v>1299.03</v>
      </c>
      <c r="M71" s="549">
        <f t="shared" si="114"/>
        <v>1181.7550000000001</v>
      </c>
      <c r="N71" s="549">
        <f t="shared" si="114"/>
        <v>21.466999999999999</v>
      </c>
      <c r="O71" s="549">
        <f t="shared" si="114"/>
        <v>0.1242</v>
      </c>
      <c r="P71" s="1365">
        <f t="shared" si="114"/>
        <v>0</v>
      </c>
      <c r="Q71" s="549">
        <f t="shared" si="114"/>
        <v>0</v>
      </c>
      <c r="R71" s="1235">
        <f>P71/(E38+L38-T38)/10</f>
        <v>0</v>
      </c>
      <c r="S71" s="542" t="e">
        <f>Q71/P71*10</f>
        <v>#DIV/0!</v>
      </c>
      <c r="T71" s="542" t="e">
        <f>R71/Q71*10</f>
        <v>#DIV/0!</v>
      </c>
      <c r="V71" s="472"/>
      <c r="W71" s="472"/>
      <c r="X71" s="472"/>
      <c r="Z71" s="472"/>
      <c r="AA71" s="476"/>
      <c r="AB71" s="472"/>
      <c r="AC71" s="472"/>
      <c r="AD71" s="472"/>
      <c r="AE71" s="472"/>
      <c r="AF71" s="472"/>
      <c r="AG71" s="472"/>
      <c r="AH71" s="472"/>
      <c r="AI71" s="472"/>
      <c r="AJ71" s="472"/>
      <c r="AK71" s="472"/>
      <c r="AL71" s="472"/>
      <c r="AM71" s="472"/>
      <c r="AN71" s="472"/>
    </row>
    <row r="72" spans="1:40" s="522" customFormat="1" ht="11.25" customHeight="1" outlineLevel="1">
      <c r="A72" s="547" t="s">
        <v>17</v>
      </c>
      <c r="B72" s="2351">
        <f>B71-B70</f>
        <v>1179.14975</v>
      </c>
      <c r="C72" s="2352"/>
      <c r="D72" s="905">
        <f>D71-D70</f>
        <v>-31.815499999999986</v>
      </c>
      <c r="E72" s="905">
        <f>E71-E70</f>
        <v>-30.700749999999999</v>
      </c>
      <c r="F72" s="905">
        <f t="shared" ref="F72:T72" si="115">F71-G70</f>
        <v>2.65</v>
      </c>
      <c r="G72" s="905">
        <f t="shared" si="115"/>
        <v>0</v>
      </c>
      <c r="H72" s="905">
        <f t="shared" si="115"/>
        <v>0</v>
      </c>
      <c r="I72" s="905">
        <f t="shared" si="115"/>
        <v>0</v>
      </c>
      <c r="J72" s="905">
        <f t="shared" si="115"/>
        <v>-150.33825000000002</v>
      </c>
      <c r="K72" s="905">
        <f t="shared" si="115"/>
        <v>30.457999999999998</v>
      </c>
      <c r="L72" s="905">
        <f t="shared" si="115"/>
        <v>1299.03</v>
      </c>
      <c r="M72" s="905">
        <f t="shared" si="115"/>
        <v>-1551.8700000000003</v>
      </c>
      <c r="N72" s="905">
        <f t="shared" si="115"/>
        <v>-314.57974999999999</v>
      </c>
      <c r="O72" s="905">
        <f t="shared" si="115"/>
        <v>-1.9802399999999998</v>
      </c>
      <c r="P72" s="1616">
        <f>P71-P70</f>
        <v>-2.1044399999999999</v>
      </c>
      <c r="Q72" s="905">
        <f t="shared" si="115"/>
        <v>-10079.363530815999</v>
      </c>
      <c r="R72" s="905">
        <f t="shared" si="115"/>
        <v>-268.82863131236337</v>
      </c>
      <c r="S72" s="905" t="e">
        <f t="shared" si="115"/>
        <v>#DIV/0!</v>
      </c>
      <c r="T72" s="905" t="e">
        <f t="shared" si="115"/>
        <v>#DIV/0!</v>
      </c>
      <c r="AA72" s="476"/>
    </row>
    <row r="73" spans="1:40" ht="7.5" customHeight="1">
      <c r="A73" s="476"/>
      <c r="B73" s="476"/>
      <c r="D73" s="476"/>
      <c r="E73" s="476"/>
      <c r="F73" s="476"/>
      <c r="G73" s="476"/>
      <c r="H73" s="476"/>
      <c r="I73" s="476"/>
      <c r="J73" s="476"/>
      <c r="K73" s="476"/>
      <c r="L73" s="476"/>
      <c r="M73" s="476"/>
      <c r="N73" s="473"/>
      <c r="O73" s="476"/>
      <c r="Q73" s="476"/>
      <c r="R73" s="476"/>
      <c r="S73" s="476"/>
      <c r="T73" s="476"/>
      <c r="U73" s="476"/>
      <c r="V73" s="476"/>
      <c r="W73" s="476"/>
      <c r="X73" s="476"/>
      <c r="Y73" s="476"/>
      <c r="Z73" s="476"/>
      <c r="AA73" s="476"/>
      <c r="AB73" s="476"/>
      <c r="AC73" s="476"/>
      <c r="AD73" s="476"/>
      <c r="AE73" s="476"/>
      <c r="AF73" s="476"/>
      <c r="AG73" s="476"/>
      <c r="AK73" s="472"/>
      <c r="AL73" s="472"/>
      <c r="AM73" s="472"/>
      <c r="AN73" s="472"/>
    </row>
    <row r="74" spans="1:40" s="476" customFormat="1" ht="9" customHeight="1" outlineLevel="1">
      <c r="A74" s="476" t="s">
        <v>417</v>
      </c>
      <c r="C74" s="473"/>
      <c r="N74" s="473"/>
      <c r="P74" s="1611"/>
    </row>
    <row r="75" spans="1:40" s="476" customFormat="1" ht="9.75" customHeight="1" outlineLevel="1">
      <c r="A75" s="2353" t="s">
        <v>295</v>
      </c>
      <c r="B75" s="2354"/>
      <c r="C75" s="550"/>
      <c r="D75" s="2348" t="s">
        <v>583</v>
      </c>
      <c r="E75" s="2348"/>
      <c r="F75" s="2348" t="s">
        <v>584</v>
      </c>
      <c r="G75" s="2348"/>
      <c r="H75" s="2348" t="s">
        <v>585</v>
      </c>
      <c r="I75" s="2348"/>
      <c r="J75" s="2348" t="s">
        <v>586</v>
      </c>
      <c r="K75" s="2348"/>
      <c r="L75" s="2348" t="s">
        <v>587</v>
      </c>
      <c r="M75" s="2348"/>
      <c r="N75" s="2357" t="s">
        <v>588</v>
      </c>
      <c r="O75" s="2357"/>
      <c r="P75" s="2348" t="s">
        <v>643</v>
      </c>
      <c r="Q75" s="2348"/>
      <c r="R75" s="2357" t="s">
        <v>644</v>
      </c>
      <c r="S75" s="2357"/>
      <c r="T75" s="2348" t="s">
        <v>589</v>
      </c>
      <c r="U75" s="2348"/>
      <c r="V75" s="2348" t="s">
        <v>24</v>
      </c>
      <c r="W75" s="2348"/>
      <c r="X75" s="2377" t="s">
        <v>296</v>
      </c>
      <c r="Y75" s="2377" t="s">
        <v>297</v>
      </c>
    </row>
    <row r="76" spans="1:40" s="476" customFormat="1" ht="9.75" customHeight="1" outlineLevel="1">
      <c r="A76" s="2355"/>
      <c r="B76" s="2356"/>
      <c r="C76" s="535" t="s">
        <v>40</v>
      </c>
      <c r="D76" s="1815" t="s">
        <v>12</v>
      </c>
      <c r="E76" s="1815" t="s">
        <v>39</v>
      </c>
      <c r="F76" s="1815" t="s">
        <v>12</v>
      </c>
      <c r="G76" s="1815" t="s">
        <v>39</v>
      </c>
      <c r="H76" s="1815" t="s">
        <v>12</v>
      </c>
      <c r="I76" s="1815" t="s">
        <v>39</v>
      </c>
      <c r="J76" s="1815" t="s">
        <v>12</v>
      </c>
      <c r="K76" s="1815" t="s">
        <v>39</v>
      </c>
      <c r="L76" s="1815" t="s">
        <v>12</v>
      </c>
      <c r="M76" s="1815" t="s">
        <v>39</v>
      </c>
      <c r="N76" s="1815" t="s">
        <v>12</v>
      </c>
      <c r="O76" s="1815" t="s">
        <v>39</v>
      </c>
      <c r="P76" s="1617" t="s">
        <v>12</v>
      </c>
      <c r="Q76" s="1815" t="s">
        <v>39</v>
      </c>
      <c r="R76" s="1815" t="s">
        <v>12</v>
      </c>
      <c r="S76" s="1815" t="s">
        <v>39</v>
      </c>
      <c r="T76" s="1815" t="s">
        <v>12</v>
      </c>
      <c r="U76" s="1815" t="s">
        <v>39</v>
      </c>
      <c r="V76" s="1815" t="s">
        <v>12</v>
      </c>
      <c r="W76" s="1815" t="s">
        <v>39</v>
      </c>
      <c r="X76" s="2377"/>
      <c r="Y76" s="2377"/>
      <c r="AC76" s="551"/>
      <c r="AD76" s="551"/>
      <c r="AE76" s="551"/>
      <c r="AF76" s="551"/>
      <c r="AG76" s="551"/>
      <c r="AH76" s="551"/>
    </row>
    <row r="77" spans="1:40" s="476" customFormat="1" ht="9.75" customHeight="1" outlineLevel="1">
      <c r="A77" s="2432"/>
      <c r="B77" s="2433"/>
      <c r="C77" s="535" t="s">
        <v>289</v>
      </c>
      <c r="D77" s="536"/>
      <c r="E77" s="536"/>
      <c r="F77" s="536"/>
      <c r="G77" s="536"/>
      <c r="H77" s="535"/>
      <c r="I77" s="552"/>
      <c r="J77" s="536"/>
      <c r="K77" s="536"/>
      <c r="L77" s="536"/>
      <c r="M77" s="536"/>
      <c r="N77" s="535"/>
      <c r="O77" s="552"/>
      <c r="P77" s="1618"/>
      <c r="Q77" s="536"/>
      <c r="R77" s="535"/>
      <c r="S77" s="552"/>
      <c r="T77" s="536"/>
      <c r="U77" s="536"/>
      <c r="V77" s="536"/>
      <c r="W77" s="536"/>
      <c r="X77" s="2377"/>
      <c r="Y77" s="2377"/>
      <c r="AC77" s="551"/>
      <c r="AD77" s="551"/>
      <c r="AE77" s="551"/>
      <c r="AF77" s="551"/>
      <c r="AG77" s="551"/>
      <c r="AH77" s="551"/>
    </row>
    <row r="78" spans="1:40" s="551" customFormat="1" ht="9.75" customHeight="1" outlineLevel="1">
      <c r="A78" s="2358" t="str">
        <f>D44</f>
        <v>КК 60</v>
      </c>
      <c r="B78" s="2359"/>
      <c r="C78" s="560">
        <v>13200</v>
      </c>
      <c r="D78" s="558">
        <f>D45</f>
        <v>307.55549999999999</v>
      </c>
      <c r="E78" s="558">
        <f>$C$78*D78/1000</f>
        <v>4059.7326000000003</v>
      </c>
      <c r="F78" s="558">
        <f>D48</f>
        <v>16.181999999999999</v>
      </c>
      <c r="G78" s="558">
        <f>$C$78*F78/1000</f>
        <v>213.60239999999999</v>
      </c>
      <c r="H78" s="905"/>
      <c r="I78" s="558">
        <f>$C$78*H78/1000</f>
        <v>0</v>
      </c>
      <c r="J78" s="558">
        <f>D54</f>
        <v>0</v>
      </c>
      <c r="K78" s="558">
        <f>$C$78*J78/1000</f>
        <v>0</v>
      </c>
      <c r="L78" s="558"/>
      <c r="M78" s="558">
        <f>$C$78*L78/1000</f>
        <v>0</v>
      </c>
      <c r="N78" s="905"/>
      <c r="O78" s="1236">
        <f t="shared" ref="O78:O84" si="116">N78*C78/1000</f>
        <v>0</v>
      </c>
      <c r="P78" s="1361"/>
      <c r="Q78" s="558">
        <f t="shared" ref="Q78:Q84" si="117">P78*C78/1000</f>
        <v>0</v>
      </c>
      <c r="R78" s="905"/>
      <c r="S78" s="1236">
        <f t="shared" ref="S78:S84" si="118">R78*G78/1000</f>
        <v>0</v>
      </c>
      <c r="T78" s="558"/>
      <c r="U78" s="558">
        <f t="shared" ref="U78:U84" si="119">T78*G78/1000</f>
        <v>0</v>
      </c>
      <c r="V78" s="558">
        <f t="shared" ref="V78:W80" si="120">D78+F78+H78+J78+L78+N78+P78+R78+T78</f>
        <v>323.73750000000001</v>
      </c>
      <c r="W78" s="558">
        <f t="shared" si="120"/>
        <v>4273.335</v>
      </c>
      <c r="X78" s="556">
        <v>1.05</v>
      </c>
      <c r="Y78" s="554">
        <f t="shared" ref="Y78:Y84" si="121">V78*X78*10</f>
        <v>3399.2437500000005</v>
      </c>
    </row>
    <row r="79" spans="1:40" s="551" customFormat="1" ht="9.75" customHeight="1" outlineLevel="1">
      <c r="A79" s="2358" t="str">
        <f>E44</f>
        <v>КК 62</v>
      </c>
      <c r="B79" s="2359"/>
      <c r="C79" s="560">
        <f>14887*1.1</f>
        <v>16375.7</v>
      </c>
      <c r="D79" s="558"/>
      <c r="E79" s="558">
        <f>$C$79*D79/1000</f>
        <v>0</v>
      </c>
      <c r="F79" s="558">
        <f>E48</f>
        <v>0</v>
      </c>
      <c r="G79" s="558">
        <f>$C$79*F79/1000</f>
        <v>0</v>
      </c>
      <c r="H79" s="905"/>
      <c r="I79" s="558">
        <f>$C$79*H79/1000</f>
        <v>0</v>
      </c>
      <c r="J79" s="558"/>
      <c r="K79" s="558">
        <f>$C$79*J79/1000</f>
        <v>0</v>
      </c>
      <c r="L79" s="558">
        <f>E57</f>
        <v>10.999499999999999</v>
      </c>
      <c r="M79" s="558">
        <f>$C$79*L79/1000</f>
        <v>180.12451214999999</v>
      </c>
      <c r="N79" s="905">
        <f>E60</f>
        <v>12.4125</v>
      </c>
      <c r="O79" s="558">
        <f>$C$79*N79/1000</f>
        <v>203.26337624999999</v>
      </c>
      <c r="P79" s="1361">
        <f>E63</f>
        <v>3.6252499999999999</v>
      </c>
      <c r="Q79" s="558">
        <f>$C$79*P79/1000</f>
        <v>59.366006425000002</v>
      </c>
      <c r="R79" s="905">
        <f>E66</f>
        <v>3.6635</v>
      </c>
      <c r="S79" s="558">
        <f>$C$79*R79/1000</f>
        <v>59.992376950000008</v>
      </c>
      <c r="T79" s="558"/>
      <c r="U79" s="558">
        <f>$C$79*T79/1000</f>
        <v>0</v>
      </c>
      <c r="V79" s="558">
        <f t="shared" si="120"/>
        <v>30.700749999999999</v>
      </c>
      <c r="W79" s="558">
        <f t="shared" si="120"/>
        <v>502.74627177499997</v>
      </c>
      <c r="X79" s="556">
        <v>1.07</v>
      </c>
      <c r="Y79" s="554">
        <f t="shared" si="121"/>
        <v>328.49802500000004</v>
      </c>
    </row>
    <row r="80" spans="1:40" s="551" customFormat="1" ht="9.75" customHeight="1" outlineLevel="1">
      <c r="A80" s="2358" t="str">
        <f>F44</f>
        <v>КК 63</v>
      </c>
      <c r="B80" s="2359"/>
      <c r="C80" s="560">
        <f>12511*1.1</f>
        <v>13762.1</v>
      </c>
      <c r="D80" s="558"/>
      <c r="E80" s="558">
        <f>$C$80*D80/1000</f>
        <v>0</v>
      </c>
      <c r="F80" s="558"/>
      <c r="G80" s="558">
        <f>$C$80*F80/1000</f>
        <v>0</v>
      </c>
      <c r="H80" s="905">
        <f>F51</f>
        <v>27.518999999999998</v>
      </c>
      <c r="I80" s="558">
        <f>$C$80*H80/1000</f>
        <v>378.71922989999996</v>
      </c>
      <c r="J80" s="558">
        <f>F54</f>
        <v>5.4089999999999998</v>
      </c>
      <c r="K80" s="558">
        <f>$C$80*J80/1000</f>
        <v>74.439198900000008</v>
      </c>
      <c r="L80" s="558">
        <f>F57</f>
        <v>25.665499999999998</v>
      </c>
      <c r="M80" s="558">
        <f>$C$80*L80/1000</f>
        <v>353.21117754999995</v>
      </c>
      <c r="N80" s="905">
        <f>F60</f>
        <v>28.962499999999999</v>
      </c>
      <c r="O80" s="558">
        <f>$C$80*N80/1000</f>
        <v>398.58482125</v>
      </c>
      <c r="P80" s="1361">
        <f>F63</f>
        <v>0</v>
      </c>
      <c r="Q80" s="558">
        <f>$C$80*P80/1000</f>
        <v>0</v>
      </c>
      <c r="R80" s="905">
        <f>F66</f>
        <v>0</v>
      </c>
      <c r="S80" s="558">
        <f>$C$80*R80/1000</f>
        <v>0</v>
      </c>
      <c r="T80" s="558">
        <f>F67</f>
        <v>2.9159999999999999</v>
      </c>
      <c r="U80" s="558">
        <f>$C$80*T80/1000</f>
        <v>40.130283600000006</v>
      </c>
      <c r="V80" s="558">
        <f t="shared" si="120"/>
        <v>90.47199999999998</v>
      </c>
      <c r="W80" s="558">
        <f t="shared" si="120"/>
        <v>1245.0847111999999</v>
      </c>
      <c r="X80" s="556">
        <v>0.94</v>
      </c>
      <c r="Y80" s="554">
        <f t="shared" si="121"/>
        <v>850.43679999999983</v>
      </c>
    </row>
    <row r="81" spans="1:40" s="551" customFormat="1" ht="9.75" hidden="1" customHeight="1" outlineLevel="2">
      <c r="A81" s="2358"/>
      <c r="B81" s="2359"/>
      <c r="C81" s="560"/>
      <c r="D81" s="558"/>
      <c r="E81" s="558">
        <f t="shared" ref="E81:E90" si="122">C81*D81/1000</f>
        <v>0</v>
      </c>
      <c r="F81" s="558"/>
      <c r="G81" s="558">
        <f t="shared" ref="G81:G90" si="123">F81*C81/1000</f>
        <v>0</v>
      </c>
      <c r="H81" s="905"/>
      <c r="I81" s="1236">
        <f>H81*C81/1000</f>
        <v>0</v>
      </c>
      <c r="J81" s="558"/>
      <c r="K81" s="558">
        <f>J81*C81/1000</f>
        <v>0</v>
      </c>
      <c r="L81" s="558"/>
      <c r="M81" s="558">
        <f>L81*C81/1000</f>
        <v>0</v>
      </c>
      <c r="N81" s="905">
        <f>G60</f>
        <v>0</v>
      </c>
      <c r="O81" s="1236">
        <f t="shared" si="116"/>
        <v>0</v>
      </c>
      <c r="P81" s="1361"/>
      <c r="Q81" s="558">
        <f t="shared" si="117"/>
        <v>0</v>
      </c>
      <c r="R81" s="905"/>
      <c r="S81" s="1236">
        <f t="shared" si="118"/>
        <v>0</v>
      </c>
      <c r="T81" s="558"/>
      <c r="U81" s="558">
        <f t="shared" si="119"/>
        <v>0</v>
      </c>
      <c r="V81" s="558">
        <f t="shared" ref="V81:W84" si="124">D81+F81+H81+J81+L81+N81+P81</f>
        <v>0</v>
      </c>
      <c r="W81" s="558">
        <f t="shared" si="124"/>
        <v>0</v>
      </c>
      <c r="X81" s="556">
        <v>0.96</v>
      </c>
      <c r="Y81" s="554">
        <f t="shared" si="121"/>
        <v>0</v>
      </c>
    </row>
    <row r="82" spans="1:40" s="551" customFormat="1" ht="10.5" hidden="1" customHeight="1" outlineLevel="2">
      <c r="A82" s="2358"/>
      <c r="B82" s="2359"/>
      <c r="C82" s="560"/>
      <c r="D82" s="558"/>
      <c r="E82" s="558">
        <f t="shared" si="122"/>
        <v>0</v>
      </c>
      <c r="F82" s="558"/>
      <c r="G82" s="558">
        <f t="shared" si="123"/>
        <v>0</v>
      </c>
      <c r="H82" s="905"/>
      <c r="I82" s="1236">
        <f>H82*C82/1000</f>
        <v>0</v>
      </c>
      <c r="J82" s="558">
        <f>H54</f>
        <v>0</v>
      </c>
      <c r="K82" s="558">
        <f>J82*C82/1000</f>
        <v>0</v>
      </c>
      <c r="L82" s="558"/>
      <c r="M82" s="558">
        <f>L82*C82/1000</f>
        <v>0</v>
      </c>
      <c r="N82" s="905">
        <f>H60</f>
        <v>0</v>
      </c>
      <c r="O82" s="1236">
        <f t="shared" si="116"/>
        <v>0</v>
      </c>
      <c r="P82" s="1361">
        <f>H67</f>
        <v>0</v>
      </c>
      <c r="Q82" s="558">
        <f t="shared" si="117"/>
        <v>0</v>
      </c>
      <c r="R82" s="905">
        <f>L60</f>
        <v>0</v>
      </c>
      <c r="S82" s="1236">
        <f t="shared" si="118"/>
        <v>0</v>
      </c>
      <c r="T82" s="558">
        <f>L67</f>
        <v>0</v>
      </c>
      <c r="U82" s="558">
        <f t="shared" si="119"/>
        <v>0</v>
      </c>
      <c r="V82" s="558">
        <f t="shared" si="124"/>
        <v>0</v>
      </c>
      <c r="W82" s="558">
        <f t="shared" si="124"/>
        <v>0</v>
      </c>
      <c r="X82" s="556">
        <v>1.1100000000000001</v>
      </c>
      <c r="Y82" s="554">
        <f t="shared" si="121"/>
        <v>0</v>
      </c>
    </row>
    <row r="83" spans="1:40" s="551" customFormat="1" ht="9.75" hidden="1" customHeight="1" outlineLevel="2">
      <c r="A83" s="2358"/>
      <c r="B83" s="2359"/>
      <c r="C83" s="560"/>
      <c r="D83" s="558"/>
      <c r="E83" s="558">
        <f t="shared" si="122"/>
        <v>0</v>
      </c>
      <c r="F83" s="558"/>
      <c r="G83" s="558">
        <f t="shared" si="123"/>
        <v>0</v>
      </c>
      <c r="H83" s="905"/>
      <c r="I83" s="1236">
        <f>H83*C83/1000</f>
        <v>0</v>
      </c>
      <c r="J83" s="558"/>
      <c r="K83" s="558">
        <f>J83*C83/1000</f>
        <v>0</v>
      </c>
      <c r="L83" s="558"/>
      <c r="M83" s="558">
        <f>L83*C83/1000</f>
        <v>0</v>
      </c>
      <c r="N83" s="905"/>
      <c r="O83" s="1236">
        <f t="shared" si="116"/>
        <v>0</v>
      </c>
      <c r="P83" s="1361">
        <f>I67</f>
        <v>0</v>
      </c>
      <c r="Q83" s="558">
        <f t="shared" si="117"/>
        <v>0</v>
      </c>
      <c r="R83" s="905"/>
      <c r="S83" s="1236">
        <f t="shared" si="118"/>
        <v>0</v>
      </c>
      <c r="T83" s="558"/>
      <c r="U83" s="558">
        <f t="shared" si="119"/>
        <v>0</v>
      </c>
      <c r="V83" s="558">
        <f t="shared" si="124"/>
        <v>0</v>
      </c>
      <c r="W83" s="558">
        <f t="shared" si="124"/>
        <v>0</v>
      </c>
      <c r="X83" s="556">
        <v>1.1100000000000001</v>
      </c>
      <c r="Y83" s="554">
        <f t="shared" si="121"/>
        <v>0</v>
      </c>
      <c r="AC83" s="480"/>
      <c r="AD83" s="480"/>
      <c r="AE83" s="480"/>
      <c r="AF83" s="480"/>
      <c r="AG83" s="480"/>
      <c r="AH83" s="480"/>
    </row>
    <row r="84" spans="1:40" s="551" customFormat="1" ht="10.5" hidden="1" customHeight="1" outlineLevel="2">
      <c r="A84" s="2358"/>
      <c r="B84" s="2359"/>
      <c r="C84" s="560"/>
      <c r="D84" s="558"/>
      <c r="E84" s="558">
        <f t="shared" si="122"/>
        <v>0</v>
      </c>
      <c r="F84" s="558"/>
      <c r="G84" s="558">
        <f t="shared" si="123"/>
        <v>0</v>
      </c>
      <c r="H84" s="905"/>
      <c r="I84" s="1236">
        <f>H84*C84/1000</f>
        <v>0</v>
      </c>
      <c r="J84" s="558"/>
      <c r="K84" s="558">
        <f>J84*C84/1000</f>
        <v>0</v>
      </c>
      <c r="L84" s="558"/>
      <c r="M84" s="558">
        <f>L84*C84/1000</f>
        <v>0</v>
      </c>
      <c r="N84" s="905"/>
      <c r="O84" s="1236">
        <f t="shared" si="116"/>
        <v>0</v>
      </c>
      <c r="P84" s="1361">
        <f>J67</f>
        <v>0</v>
      </c>
      <c r="Q84" s="558">
        <f t="shared" si="117"/>
        <v>0</v>
      </c>
      <c r="R84" s="905"/>
      <c r="S84" s="1236">
        <f t="shared" si="118"/>
        <v>0</v>
      </c>
      <c r="T84" s="558"/>
      <c r="U84" s="558">
        <f t="shared" si="119"/>
        <v>0</v>
      </c>
      <c r="V84" s="558">
        <f t="shared" si="124"/>
        <v>0</v>
      </c>
      <c r="W84" s="558">
        <f t="shared" si="124"/>
        <v>0</v>
      </c>
      <c r="X84" s="556">
        <v>1.06</v>
      </c>
      <c r="Y84" s="554">
        <f t="shared" si="121"/>
        <v>0</v>
      </c>
      <c r="AC84" s="559"/>
      <c r="AD84" s="559"/>
      <c r="AE84" s="559"/>
      <c r="AF84" s="559"/>
      <c r="AG84" s="559"/>
      <c r="AH84" s="559"/>
    </row>
    <row r="85" spans="1:40" s="480" customFormat="1" ht="10.5" customHeight="1" outlineLevel="1" collapsed="1">
      <c r="A85" s="2430" t="s">
        <v>298</v>
      </c>
      <c r="B85" s="2431"/>
      <c r="C85" s="560">
        <f>W85/V85*1000</f>
        <v>13533.439571183175</v>
      </c>
      <c r="D85" s="549">
        <f>SUM(D78:D84)</f>
        <v>307.55549999999999</v>
      </c>
      <c r="E85" s="549">
        <f t="shared" ref="E85:W85" si="125">SUM(E78:E84)</f>
        <v>4059.7326000000003</v>
      </c>
      <c r="F85" s="549">
        <f t="shared" si="125"/>
        <v>16.181999999999999</v>
      </c>
      <c r="G85" s="549">
        <f t="shared" si="125"/>
        <v>213.60239999999999</v>
      </c>
      <c r="H85" s="549">
        <f t="shared" si="125"/>
        <v>27.518999999999998</v>
      </c>
      <c r="I85" s="549">
        <f t="shared" si="125"/>
        <v>378.71922989999996</v>
      </c>
      <c r="J85" s="549">
        <f t="shared" si="125"/>
        <v>5.4089999999999998</v>
      </c>
      <c r="K85" s="549">
        <f t="shared" si="125"/>
        <v>74.439198900000008</v>
      </c>
      <c r="L85" s="549">
        <f t="shared" si="125"/>
        <v>36.664999999999999</v>
      </c>
      <c r="M85" s="549">
        <f t="shared" si="125"/>
        <v>533.33568969999988</v>
      </c>
      <c r="N85" s="549">
        <f t="shared" si="125"/>
        <v>41.375</v>
      </c>
      <c r="O85" s="549">
        <f t="shared" si="125"/>
        <v>601.84819749999997</v>
      </c>
      <c r="P85" s="1365">
        <f t="shared" si="125"/>
        <v>3.6252499999999999</v>
      </c>
      <c r="Q85" s="549">
        <f t="shared" si="125"/>
        <v>59.366006425000002</v>
      </c>
      <c r="R85" s="549">
        <f t="shared" si="125"/>
        <v>3.6635</v>
      </c>
      <c r="S85" s="549">
        <f t="shared" si="125"/>
        <v>59.992376950000008</v>
      </c>
      <c r="T85" s="549">
        <f t="shared" si="125"/>
        <v>2.9159999999999999</v>
      </c>
      <c r="U85" s="549">
        <f t="shared" si="125"/>
        <v>40.130283600000006</v>
      </c>
      <c r="V85" s="549">
        <f t="shared" si="125"/>
        <v>444.91025000000002</v>
      </c>
      <c r="W85" s="549">
        <f t="shared" si="125"/>
        <v>6021.1659829749997</v>
      </c>
      <c r="X85" s="561"/>
      <c r="Y85" s="554"/>
      <c r="AC85" s="559"/>
      <c r="AD85" s="559"/>
      <c r="AE85" s="559"/>
      <c r="AF85" s="559"/>
      <c r="AG85" s="559"/>
      <c r="AH85" s="559"/>
    </row>
    <row r="86" spans="1:40" s="559" customFormat="1" ht="9.75" customHeight="1" outlineLevel="1">
      <c r="A86" s="2428" t="str">
        <f>L44</f>
        <v>патока</v>
      </c>
      <c r="B86" s="2429"/>
      <c r="C86" s="560">
        <v>9500</v>
      </c>
      <c r="D86" s="558">
        <f>L45</f>
        <v>0</v>
      </c>
      <c r="E86" s="558">
        <f t="shared" si="122"/>
        <v>0</v>
      </c>
      <c r="F86" s="558">
        <f>L48</f>
        <v>0</v>
      </c>
      <c r="G86" s="558">
        <f t="shared" si="123"/>
        <v>0</v>
      </c>
      <c r="H86" s="905"/>
      <c r="I86" s="1236">
        <f>H86*C86/1000</f>
        <v>0</v>
      </c>
      <c r="J86" s="558"/>
      <c r="K86" s="558">
        <f>J86*C86/1000</f>
        <v>0</v>
      </c>
      <c r="L86" s="568">
        <f>L57</f>
        <v>0</v>
      </c>
      <c r="M86" s="558">
        <f>L86*C86/1000</f>
        <v>0</v>
      </c>
      <c r="N86" s="548">
        <f>L60</f>
        <v>0</v>
      </c>
      <c r="O86" s="1236">
        <f>N86*C86/1000</f>
        <v>0</v>
      </c>
      <c r="P86" s="1368"/>
      <c r="Q86" s="558">
        <f>P86*C86/1000</f>
        <v>0</v>
      </c>
      <c r="R86" s="548"/>
      <c r="S86" s="1236">
        <f>R86*G86/1000</f>
        <v>0</v>
      </c>
      <c r="T86" s="568"/>
      <c r="U86" s="558">
        <f>T86*G86/1000</f>
        <v>0</v>
      </c>
      <c r="V86" s="558">
        <f>D86+F86+H86+J86+L86+N86+P86+R86+T86</f>
        <v>0</v>
      </c>
      <c r="W86" s="558">
        <f>E86+G86+I86+K86+M86+O86+Q86</f>
        <v>0</v>
      </c>
      <c r="X86" s="564">
        <v>1.34</v>
      </c>
      <c r="Y86" s="554">
        <f t="shared" ref="Y86:Y91" si="126">V86*X86*10</f>
        <v>0</v>
      </c>
      <c r="AC86" s="480"/>
      <c r="AD86" s="480"/>
      <c r="AE86" s="480"/>
      <c r="AF86" s="480"/>
      <c r="AG86" s="480"/>
      <c r="AH86" s="480"/>
    </row>
    <row r="87" spans="1:40" s="559" customFormat="1" ht="9.75" customHeight="1" outlineLevel="1">
      <c r="A87" s="2428" t="str">
        <f>N44</f>
        <v>силос</v>
      </c>
      <c r="B87" s="2429"/>
      <c r="C87" s="1237">
        <v>1180</v>
      </c>
      <c r="D87" s="558">
        <f>N45</f>
        <v>1537.7774999999999</v>
      </c>
      <c r="E87" s="558">
        <f t="shared" si="122"/>
        <v>1814.57745</v>
      </c>
      <c r="F87" s="558">
        <f>N48</f>
        <v>188.79</v>
      </c>
      <c r="G87" s="558">
        <f t="shared" si="123"/>
        <v>222.77219999999997</v>
      </c>
      <c r="H87" s="905">
        <f>N51</f>
        <v>275.19</v>
      </c>
      <c r="I87" s="1236">
        <f>H87*C87/1000</f>
        <v>324.7242</v>
      </c>
      <c r="J87" s="558">
        <f>N54</f>
        <v>54.09</v>
      </c>
      <c r="K87" s="558">
        <f>J87*C87/1000</f>
        <v>63.826200000000007</v>
      </c>
      <c r="L87" s="558">
        <f>N57</f>
        <v>293.32</v>
      </c>
      <c r="M87" s="558">
        <f>L87*C87/1000</f>
        <v>346.11759999999998</v>
      </c>
      <c r="N87" s="905">
        <f>N60</f>
        <v>331</v>
      </c>
      <c r="O87" s="1236">
        <f>N87*C87/1000</f>
        <v>390.58</v>
      </c>
      <c r="P87" s="1361">
        <f>N63</f>
        <v>7.2504999999999997</v>
      </c>
      <c r="Q87" s="558">
        <f>P87*C87/1000</f>
        <v>8.5555900000000005</v>
      </c>
      <c r="R87" s="905">
        <f>N66</f>
        <v>7.327</v>
      </c>
      <c r="S87" s="1236">
        <f>R87*G87/1000</f>
        <v>1.6322519093999996</v>
      </c>
      <c r="T87" s="558">
        <f>N67</f>
        <v>38.880000000000003</v>
      </c>
      <c r="U87" s="558">
        <f>T87*G87/1000</f>
        <v>8.6613831359999978</v>
      </c>
      <c r="V87" s="558">
        <f>D87+F87+H87+J87+L87+N87+P87+R87+T87</f>
        <v>2733.6250000000005</v>
      </c>
      <c r="W87" s="558">
        <f>E87+G87+I87+K87+M87+O87+Q87</f>
        <v>3171.1532399999996</v>
      </c>
      <c r="X87" s="564">
        <v>3.9</v>
      </c>
      <c r="Y87" s="554">
        <f t="shared" si="126"/>
        <v>106611.375</v>
      </c>
      <c r="AC87" s="480"/>
      <c r="AD87" s="480"/>
      <c r="AE87" s="480"/>
      <c r="AF87" s="480"/>
      <c r="AG87" s="480"/>
      <c r="AH87" s="480"/>
    </row>
    <row r="88" spans="1:40" s="559" customFormat="1" ht="9.75" customHeight="1" outlineLevel="1">
      <c r="A88" s="2428" t="str">
        <f>O44</f>
        <v>сено</v>
      </c>
      <c r="B88" s="2429"/>
      <c r="C88" s="1237">
        <v>3000</v>
      </c>
      <c r="D88" s="558">
        <f>O45</f>
        <v>175.74600000000001</v>
      </c>
      <c r="E88" s="558">
        <f t="shared" si="122"/>
        <v>527.23800000000006</v>
      </c>
      <c r="F88" s="558">
        <f>O48</f>
        <v>21.576000000000001</v>
      </c>
      <c r="G88" s="558">
        <f t="shared" si="123"/>
        <v>64.727999999999994</v>
      </c>
      <c r="H88" s="905">
        <f>O51</f>
        <v>27.518999999999998</v>
      </c>
      <c r="I88" s="1236">
        <f>H88*C88/1000</f>
        <v>82.557000000000002</v>
      </c>
      <c r="J88" s="558">
        <f>O54</f>
        <v>5.4089999999999998</v>
      </c>
      <c r="K88" s="558">
        <f>J88*C88/1000</f>
        <v>16.227</v>
      </c>
      <c r="L88" s="558">
        <f>O57</f>
        <v>43.997999999999998</v>
      </c>
      <c r="M88" s="558">
        <f>L88*C88/1000</f>
        <v>131.994</v>
      </c>
      <c r="N88" s="905">
        <f>O60</f>
        <v>49.65</v>
      </c>
      <c r="O88" s="1236">
        <f>N88*C88/1000</f>
        <v>148.94999999999999</v>
      </c>
      <c r="P88" s="1361">
        <f>O63</f>
        <v>3.6252499999999999</v>
      </c>
      <c r="Q88" s="558">
        <f>P88*C88/1000</f>
        <v>10.87575</v>
      </c>
      <c r="R88" s="905">
        <f>O66</f>
        <v>3.6635</v>
      </c>
      <c r="S88" s="1236">
        <f>R88*G88/1000</f>
        <v>0.23713102799999999</v>
      </c>
      <c r="T88" s="558">
        <f>O67</f>
        <v>4.8600000000000003</v>
      </c>
      <c r="U88" s="558">
        <f>T88*G88/1000</f>
        <v>0.31457807999999998</v>
      </c>
      <c r="V88" s="558">
        <f>D88+F88+H88+J88+L88+N88+P88+R88+T88</f>
        <v>336.04674999999997</v>
      </c>
      <c r="W88" s="558">
        <f>E88+G88+I88+K88+M88+O88+Q88</f>
        <v>982.56975</v>
      </c>
      <c r="X88" s="564">
        <v>1.8</v>
      </c>
      <c r="Y88" s="554">
        <f t="shared" si="126"/>
        <v>6048.8414999999995</v>
      </c>
      <c r="AC88" s="480"/>
      <c r="AD88" s="480"/>
      <c r="AE88" s="480"/>
      <c r="AF88" s="480"/>
      <c r="AG88" s="480"/>
      <c r="AH88" s="480"/>
    </row>
    <row r="89" spans="1:40" s="480" customFormat="1" ht="9.75" customHeight="1" outlineLevel="1">
      <c r="A89" s="2428" t="str">
        <f>M44</f>
        <v>МТ (зеленка)</v>
      </c>
      <c r="B89" s="2429"/>
      <c r="C89" s="554">
        <v>2000</v>
      </c>
      <c r="D89" s="558">
        <f>M45</f>
        <v>0</v>
      </c>
      <c r="E89" s="558">
        <f>C89*D89/1000</f>
        <v>0</v>
      </c>
      <c r="F89" s="558">
        <f>M48</f>
        <v>0</v>
      </c>
      <c r="G89" s="558">
        <f>F89*C89/1000</f>
        <v>0</v>
      </c>
      <c r="H89" s="905"/>
      <c r="I89" s="1236">
        <f>H89*C89/1000</f>
        <v>0</v>
      </c>
      <c r="J89" s="558"/>
      <c r="K89" s="558">
        <f>J89*C89/1000</f>
        <v>0</v>
      </c>
      <c r="L89" s="575">
        <f>M57</f>
        <v>0</v>
      </c>
      <c r="M89" s="558">
        <f>L89*C89/1000</f>
        <v>0</v>
      </c>
      <c r="N89" s="905">
        <f>M60</f>
        <v>0</v>
      </c>
      <c r="O89" s="1236">
        <f>N89*C89/1000</f>
        <v>0</v>
      </c>
      <c r="P89" s="1381">
        <f>M63</f>
        <v>0</v>
      </c>
      <c r="Q89" s="558">
        <f>P89*C89/1000</f>
        <v>0</v>
      </c>
      <c r="R89" s="905">
        <f>M66</f>
        <v>0</v>
      </c>
      <c r="S89" s="1236">
        <f>R89*G89/1000</f>
        <v>0</v>
      </c>
      <c r="T89" s="575">
        <f>M67</f>
        <v>0</v>
      </c>
      <c r="U89" s="558">
        <f>T89*G89/1000</f>
        <v>0</v>
      </c>
      <c r="V89" s="558">
        <f>D89+F89+H89+J89+L89+N89+P89+R89+T89</f>
        <v>0</v>
      </c>
      <c r="W89" s="558">
        <f>E89+G89+I89+K89+M89+O89+Q89</f>
        <v>0</v>
      </c>
      <c r="X89" s="561">
        <v>1.24</v>
      </c>
      <c r="Y89" s="554">
        <f t="shared" si="126"/>
        <v>0</v>
      </c>
      <c r="AC89" s="473"/>
      <c r="AD89" s="475"/>
      <c r="AE89" s="474"/>
      <c r="AF89" s="472"/>
      <c r="AG89" s="474"/>
      <c r="AH89" s="472"/>
    </row>
    <row r="90" spans="1:40" s="559" customFormat="1" ht="9.75" customHeight="1" outlineLevel="1">
      <c r="A90" s="2428" t="str">
        <f>P44</f>
        <v>соль</v>
      </c>
      <c r="B90" s="2429"/>
      <c r="C90" s="1237">
        <v>8500</v>
      </c>
      <c r="D90" s="558">
        <f>P45</f>
        <v>0</v>
      </c>
      <c r="E90" s="558">
        <f t="shared" si="122"/>
        <v>0</v>
      </c>
      <c r="F90" s="558">
        <f>P48</f>
        <v>0</v>
      </c>
      <c r="G90" s="558">
        <f t="shared" si="123"/>
        <v>0</v>
      </c>
      <c r="H90" s="905">
        <f>P51</f>
        <v>0.64210999999999996</v>
      </c>
      <c r="I90" s="1236">
        <f>H90*C90/1000</f>
        <v>5.4579349999999991</v>
      </c>
      <c r="J90" s="558">
        <f>P54</f>
        <v>0.12621000000000002</v>
      </c>
      <c r="K90" s="558">
        <f>J90*C90/1000</f>
        <v>1.0727850000000001</v>
      </c>
      <c r="L90" s="558">
        <f>P57</f>
        <v>0.58663999999999994</v>
      </c>
      <c r="M90" s="558">
        <f>L90*C90/1000</f>
        <v>4.98644</v>
      </c>
      <c r="N90" s="905">
        <f>P60</f>
        <v>0.66200000000000003</v>
      </c>
      <c r="O90" s="1236">
        <f>N90*C90/1000</f>
        <v>5.6269999999999998</v>
      </c>
      <c r="P90" s="1361">
        <f>P63</f>
        <v>0</v>
      </c>
      <c r="Q90" s="558">
        <f>P90*C90/1000</f>
        <v>0</v>
      </c>
      <c r="R90" s="905">
        <f>P66</f>
        <v>0</v>
      </c>
      <c r="S90" s="1236">
        <f>R90*G90/1000</f>
        <v>0</v>
      </c>
      <c r="T90" s="558">
        <f>P67</f>
        <v>8.7479999999999988E-2</v>
      </c>
      <c r="U90" s="558">
        <f>T90*G90/1000</f>
        <v>0</v>
      </c>
      <c r="V90" s="558">
        <f>D90+F90+H90+J90+L90+N90+P90+R90+T90</f>
        <v>2.1044399999999999</v>
      </c>
      <c r="W90" s="558">
        <f>E90+G90+I90+K90+M90+O90+Q90</f>
        <v>17.144159999999999</v>
      </c>
      <c r="X90" s="564"/>
      <c r="Y90" s="554">
        <f t="shared" si="126"/>
        <v>0</v>
      </c>
      <c r="AC90" s="480"/>
      <c r="AD90" s="480"/>
      <c r="AE90" s="480"/>
      <c r="AF90" s="480"/>
      <c r="AG90" s="480"/>
      <c r="AH90" s="480"/>
    </row>
    <row r="91" spans="1:40" s="559" customFormat="1" ht="9.75" customHeight="1" outlineLevel="1">
      <c r="A91" s="2428" t="s">
        <v>590</v>
      </c>
      <c r="B91" s="2429"/>
      <c r="C91" s="567"/>
      <c r="D91" s="568">
        <f>D87+D88+D90+D86+D89</f>
        <v>1713.5235</v>
      </c>
      <c r="E91" s="568">
        <f t="shared" ref="E91:U91" si="127">E87+E88+E90+E86+E90</f>
        <v>2341.8154500000001</v>
      </c>
      <c r="F91" s="568">
        <f t="shared" si="127"/>
        <v>210.36599999999999</v>
      </c>
      <c r="G91" s="568">
        <f t="shared" si="127"/>
        <v>287.50019999999995</v>
      </c>
      <c r="H91" s="568">
        <f t="shared" si="127"/>
        <v>303.99322000000001</v>
      </c>
      <c r="I91" s="568">
        <f t="shared" si="127"/>
        <v>418.19707000000005</v>
      </c>
      <c r="J91" s="568">
        <f t="shared" si="127"/>
        <v>59.751420000000003</v>
      </c>
      <c r="K91" s="568">
        <f t="shared" si="127"/>
        <v>82.198769999999996</v>
      </c>
      <c r="L91" s="568">
        <f t="shared" si="127"/>
        <v>338.49127999999996</v>
      </c>
      <c r="M91" s="568">
        <f t="shared" si="127"/>
        <v>488.08447999999999</v>
      </c>
      <c r="N91" s="568">
        <f t="shared" si="127"/>
        <v>381.97399999999993</v>
      </c>
      <c r="O91" s="568">
        <f t="shared" si="127"/>
        <v>550.78399999999988</v>
      </c>
      <c r="P91" s="1368">
        <f t="shared" si="127"/>
        <v>10.87575</v>
      </c>
      <c r="Q91" s="568">
        <f t="shared" si="127"/>
        <v>19.431339999999999</v>
      </c>
      <c r="R91" s="568">
        <f t="shared" si="127"/>
        <v>10.990500000000001</v>
      </c>
      <c r="S91" s="568">
        <f t="shared" si="127"/>
        <v>1.8693829373999997</v>
      </c>
      <c r="T91" s="568">
        <f t="shared" si="127"/>
        <v>43.914960000000001</v>
      </c>
      <c r="U91" s="568">
        <f t="shared" si="127"/>
        <v>8.9759612159999982</v>
      </c>
      <c r="V91" s="568">
        <f>V86+V87+V88+V89+V90</f>
        <v>3071.7761900000005</v>
      </c>
      <c r="W91" s="568">
        <f>W87+W88+W90</f>
        <v>4170.8671499999991</v>
      </c>
      <c r="X91" s="564"/>
      <c r="Y91" s="554">
        <f t="shared" si="126"/>
        <v>0</v>
      </c>
      <c r="AC91" s="480"/>
      <c r="AD91" s="480"/>
      <c r="AE91" s="480"/>
      <c r="AF91" s="480"/>
      <c r="AG91" s="480"/>
      <c r="AH91" s="480"/>
    </row>
    <row r="92" spans="1:40" s="480" customFormat="1" ht="1.5" customHeight="1" outlineLevel="1">
      <c r="A92" s="570"/>
      <c r="B92" s="571"/>
      <c r="C92" s="572"/>
      <c r="D92" s="573"/>
      <c r="E92" s="573"/>
      <c r="F92" s="573"/>
      <c r="G92" s="573"/>
      <c r="H92" s="1238"/>
      <c r="I92" s="1239"/>
      <c r="J92" s="573"/>
      <c r="K92" s="573"/>
      <c r="L92" s="579"/>
      <c r="M92" s="573"/>
      <c r="N92" s="1238"/>
      <c r="O92" s="1239"/>
      <c r="P92" s="1619"/>
      <c r="Q92" s="573"/>
      <c r="R92" s="1238"/>
      <c r="S92" s="1239"/>
      <c r="T92" s="579"/>
      <c r="U92" s="573"/>
      <c r="V92" s="573"/>
      <c r="W92" s="573"/>
      <c r="X92" s="574"/>
      <c r="Y92" s="572"/>
      <c r="AC92" s="473"/>
      <c r="AD92" s="475"/>
      <c r="AE92" s="474"/>
      <c r="AF92" s="472"/>
      <c r="AG92" s="474"/>
      <c r="AH92" s="472"/>
    </row>
    <row r="93" spans="1:40" s="480" customFormat="1" ht="9.75" customHeight="1" outlineLevel="1">
      <c r="A93" s="2434" t="s">
        <v>302</v>
      </c>
      <c r="B93" s="2434"/>
      <c r="C93" s="563"/>
      <c r="D93" s="575">
        <f>D85+D91</f>
        <v>2021.079</v>
      </c>
      <c r="E93" s="575">
        <f t="shared" ref="E93:W93" si="128">E85+E86+E91+E89</f>
        <v>6401.5480500000003</v>
      </c>
      <c r="F93" s="575">
        <f t="shared" si="128"/>
        <v>226.54799999999997</v>
      </c>
      <c r="G93" s="575">
        <f t="shared" si="128"/>
        <v>501.10259999999994</v>
      </c>
      <c r="H93" s="575">
        <f t="shared" si="128"/>
        <v>331.51222000000001</v>
      </c>
      <c r="I93" s="575">
        <f t="shared" si="128"/>
        <v>796.91629990000001</v>
      </c>
      <c r="J93" s="575">
        <f t="shared" si="128"/>
        <v>65.160420000000002</v>
      </c>
      <c r="K93" s="575">
        <f t="shared" si="128"/>
        <v>156.6379689</v>
      </c>
      <c r="L93" s="575">
        <f t="shared" si="128"/>
        <v>375.15627999999998</v>
      </c>
      <c r="M93" s="575">
        <f t="shared" si="128"/>
        <v>1021.4201696999999</v>
      </c>
      <c r="N93" s="575">
        <f t="shared" si="128"/>
        <v>423.34899999999993</v>
      </c>
      <c r="O93" s="575">
        <f t="shared" si="128"/>
        <v>1152.6321974999998</v>
      </c>
      <c r="P93" s="1381">
        <f t="shared" si="128"/>
        <v>14.500999999999999</v>
      </c>
      <c r="Q93" s="575">
        <f t="shared" si="128"/>
        <v>78.797346425000001</v>
      </c>
      <c r="R93" s="575">
        <f t="shared" si="128"/>
        <v>14.654</v>
      </c>
      <c r="S93" s="575">
        <f t="shared" si="128"/>
        <v>61.861759887400005</v>
      </c>
      <c r="T93" s="575">
        <f t="shared" si="128"/>
        <v>46.830959999999997</v>
      </c>
      <c r="U93" s="575">
        <f t="shared" si="128"/>
        <v>49.106244816</v>
      </c>
      <c r="V93" s="575">
        <f>V85+V91</f>
        <v>3516.6864400000004</v>
      </c>
      <c r="W93" s="575">
        <f t="shared" si="128"/>
        <v>10192.033132974999</v>
      </c>
      <c r="X93" s="563"/>
      <c r="Y93" s="563">
        <f>SUM(Y78:Y91)</f>
        <v>117238.39507499999</v>
      </c>
      <c r="AC93" s="473"/>
      <c r="AD93" s="475"/>
      <c r="AE93" s="474"/>
      <c r="AF93" s="472"/>
      <c r="AG93" s="474"/>
      <c r="AH93" s="472"/>
    </row>
    <row r="94" spans="1:40" s="480" customFormat="1" ht="2.25" customHeight="1" outlineLevel="1">
      <c r="A94" s="577"/>
      <c r="B94" s="577"/>
      <c r="C94" s="578"/>
      <c r="D94" s="579"/>
      <c r="E94" s="579"/>
      <c r="F94" s="579"/>
      <c r="G94" s="579"/>
      <c r="H94" s="579"/>
      <c r="I94" s="579"/>
      <c r="J94" s="579"/>
      <c r="K94" s="579"/>
      <c r="L94" s="579"/>
      <c r="M94" s="579"/>
      <c r="N94" s="579"/>
      <c r="O94" s="579"/>
      <c r="P94" s="1619"/>
      <c r="Q94" s="579"/>
      <c r="R94" s="579"/>
      <c r="S94" s="579"/>
      <c r="T94" s="579"/>
      <c r="U94" s="579"/>
      <c r="V94" s="579"/>
      <c r="W94" s="579"/>
      <c r="X94" s="578"/>
      <c r="Y94" s="578"/>
      <c r="AC94" s="473"/>
      <c r="AD94" s="475"/>
      <c r="AE94" s="474"/>
      <c r="AF94" s="472"/>
      <c r="AG94" s="474"/>
      <c r="AH94" s="472"/>
    </row>
    <row r="95" spans="1:40" s="480" customFormat="1" ht="9.75" customHeight="1" outlineLevel="1">
      <c r="A95" s="2347" t="s">
        <v>429</v>
      </c>
      <c r="B95" s="2347"/>
      <c r="C95" s="563"/>
      <c r="D95" s="575">
        <f>(D78*X78+D79*X79+D81*X81+D82*X82+D83*X83+D84*X84+D86*X86+D87*X87+D88*X88+D90*X90+D89*X89)*10</f>
        <v>66366.083249999996</v>
      </c>
      <c r="E95" s="575">
        <f>E93/D95*10</f>
        <v>0.96458126448195969</v>
      </c>
      <c r="F95" s="575">
        <f>(F78*X78+F79*X79+F81*X81+F82*X82+F83*X83+F84*X84+F86*X86+F87*X87+F88*X88+F90*X90+F89*X89)*10</f>
        <v>7921.0889999999999</v>
      </c>
      <c r="G95" s="575">
        <f>G93/F95*10</f>
        <v>0.63261831801157631</v>
      </c>
      <c r="H95" s="575">
        <f>(H78*X78+H79*X79+H81*X81+H82*X82+H83*X83+H84*X84+H86*X86+H87*X87+H88*X88+H90*X90+H89*X89)*10</f>
        <v>11227.752</v>
      </c>
      <c r="I95" s="575">
        <f>I93/H95*10</f>
        <v>0.70977369281045755</v>
      </c>
      <c r="J95" s="575">
        <f>(J78*X78+J79*X79+J81*X81+J82*X82+J83*X83+J84*X84+J86*X86+J87*X87+J88*X88+J90*X90+J89*X89)*10</f>
        <v>2206.8720000000003</v>
      </c>
      <c r="K95" s="575">
        <f>K93/J95*10</f>
        <v>0.70977369281045743</v>
      </c>
      <c r="L95" s="575">
        <f>(L78*X78+L79*X79+L80*X80+L81*X81+L82*X82+L83*X83+L84*X84+L86*X86+L87*X87+L88*X88+L90*X90+L89*X89)*10</f>
        <v>12590.394349999999</v>
      </c>
      <c r="M95" s="575">
        <f>M93/L95*10</f>
        <v>0.8112694021375112</v>
      </c>
      <c r="N95" s="575">
        <f>(N78*$X$78+N79*$X$79+N80*$X$80+N81*$X$81+N82*$X$82+N83*$X$83+N84*$X$84+N86*$X$86+N87*$X$87+N88*$X$88+N90*$X$90+N89*$X$89)*10</f>
        <v>14207.76125</v>
      </c>
      <c r="O95" s="575">
        <f>O93/N95*10</f>
        <v>0.8112694021375112</v>
      </c>
      <c r="P95" s="1381">
        <f>(P78*$X$78+P79*$X$79+P80*$X$80+P81*$X$81+P82*$X$82+P83*$X$83+P84*$X$84+P86*$X$86+P87*$X$87+P88*$X$88+P90*$X$90+P89*$X$89)*10</f>
        <v>386.81417500000003</v>
      </c>
      <c r="Q95" s="575">
        <f>Q93/P95*10</f>
        <v>2.0370852858481721</v>
      </c>
      <c r="R95" s="575">
        <f>(R78*$X$78+R79*$X$79+R80*$X$80+R81*$X$81+R82*$X$82+R83*$X$83+R84*$X$84+R86*$X$86+R87*$X$87+R88*$X$88+R90*$X$90+R89*$X$89)*10</f>
        <v>390.89544999999998</v>
      </c>
      <c r="S95" s="575">
        <f>S93/R95*10</f>
        <v>1.5825653608247425</v>
      </c>
      <c r="T95" s="575">
        <f>(T78*$X$78+T79*$X$79+T80*$X$80+T81*$X$81+T82*$X$82+T83*$X$83+T84*$X$84+T86*$X$86+T87*$X$87+T88*$X$88+T90*$X$90+T89*$X$89)*10</f>
        <v>1631.2103999999999</v>
      </c>
      <c r="U95" s="575">
        <f>U93/T95*10</f>
        <v>0.3010417590275295</v>
      </c>
      <c r="V95" s="575">
        <f>Y93</f>
        <v>117238.39507499999</v>
      </c>
      <c r="W95" s="575">
        <f>W93/V95*10</f>
        <v>0.86934260115510198</v>
      </c>
      <c r="X95" s="563"/>
      <c r="Y95" s="563"/>
      <c r="AC95" s="473"/>
      <c r="AD95" s="475"/>
      <c r="AE95" s="474"/>
      <c r="AF95" s="472"/>
      <c r="AG95" s="474"/>
      <c r="AH95" s="472"/>
    </row>
    <row r="96" spans="1:40" ht="11.25" customHeight="1">
      <c r="M96" s="472"/>
      <c r="N96" s="473"/>
      <c r="O96" s="474"/>
      <c r="Q96" s="475"/>
      <c r="R96" s="474"/>
      <c r="S96" s="472"/>
      <c r="T96" s="473"/>
      <c r="U96" s="475"/>
      <c r="V96" s="474"/>
      <c r="W96" s="472"/>
      <c r="Z96" s="472"/>
      <c r="AA96" s="474"/>
      <c r="AE96" s="475"/>
      <c r="AF96" s="476"/>
      <c r="AG96" s="476"/>
      <c r="AM96" s="472"/>
      <c r="AN96" s="472"/>
    </row>
    <row r="97" spans="1:33" s="586" customFormat="1" ht="11.25" customHeight="1" outlineLevel="1">
      <c r="A97" s="476" t="s">
        <v>430</v>
      </c>
      <c r="B97" s="476"/>
      <c r="C97" s="473"/>
      <c r="D97" s="476"/>
      <c r="E97" s="476"/>
      <c r="F97" s="476"/>
      <c r="G97" s="476"/>
      <c r="H97" s="476"/>
      <c r="I97" s="476"/>
      <c r="J97" s="476"/>
      <c r="K97" s="476"/>
      <c r="L97" s="476"/>
      <c r="M97" s="476"/>
      <c r="N97" s="473"/>
      <c r="O97" s="476"/>
      <c r="P97" s="1611"/>
      <c r="Q97" s="476"/>
      <c r="R97" s="476"/>
      <c r="S97" s="476"/>
      <c r="T97" s="476"/>
      <c r="U97" s="476"/>
      <c r="V97" s="580"/>
      <c r="W97" s="581"/>
      <c r="X97" s="582"/>
      <c r="Y97" s="581"/>
      <c r="Z97" s="581"/>
      <c r="AA97" s="583"/>
      <c r="AB97" s="900"/>
      <c r="AC97" s="585"/>
      <c r="AD97" s="582"/>
      <c r="AE97" s="585"/>
      <c r="AF97" s="585"/>
      <c r="AG97" s="585"/>
    </row>
    <row r="98" spans="1:33" s="586" customFormat="1" ht="11.25" customHeight="1" outlineLevel="1">
      <c r="A98" s="2353" t="s">
        <v>295</v>
      </c>
      <c r="B98" s="2354"/>
      <c r="C98" s="550"/>
      <c r="D98" s="2348" t="str">
        <f>D75</f>
        <v>коровы</v>
      </c>
      <c r="E98" s="2348"/>
      <c r="F98" s="2348" t="str">
        <f>F75</f>
        <v>нетели</v>
      </c>
      <c r="G98" s="2348"/>
      <c r="H98" s="2348" t="str">
        <f>H75</f>
        <v xml:space="preserve">тел. 14 г. </v>
      </c>
      <c r="I98" s="2348"/>
      <c r="J98" s="2348" t="str">
        <f>J75</f>
        <v xml:space="preserve">быч. 14 г. </v>
      </c>
      <c r="K98" s="2348"/>
      <c r="L98" s="2348" t="str">
        <f>L75</f>
        <v xml:space="preserve">тел. 15 г. </v>
      </c>
      <c r="M98" s="2348"/>
      <c r="N98" s="2348" t="str">
        <f>N75</f>
        <v xml:space="preserve">быч. 15 г. </v>
      </c>
      <c r="O98" s="2348"/>
      <c r="P98" s="2348" t="str">
        <f>P75</f>
        <v xml:space="preserve">тел. 16 г. </v>
      </c>
      <c r="Q98" s="2348"/>
      <c r="R98" s="2348" t="str">
        <f>R75</f>
        <v xml:space="preserve">быч. 16 г. </v>
      </c>
      <c r="S98" s="2348"/>
      <c r="T98" s="2348" t="str">
        <f>T75</f>
        <v>коровы-корм</v>
      </c>
      <c r="U98" s="2348"/>
      <c r="V98" s="2348" t="s">
        <v>24</v>
      </c>
      <c r="W98" s="2348"/>
      <c r="X98" s="2377" t="s">
        <v>296</v>
      </c>
      <c r="Y98" s="2377" t="s">
        <v>297</v>
      </c>
      <c r="Z98" s="581"/>
      <c r="AA98" s="583"/>
      <c r="AB98" s="584"/>
      <c r="AC98" s="585"/>
      <c r="AD98" s="582"/>
      <c r="AE98" s="585"/>
      <c r="AF98" s="585"/>
      <c r="AG98" s="585"/>
    </row>
    <row r="99" spans="1:33" s="586" customFormat="1" ht="11.25" customHeight="1" outlineLevel="1">
      <c r="A99" s="2355"/>
      <c r="B99" s="2356"/>
      <c r="C99" s="535" t="s">
        <v>40</v>
      </c>
      <c r="D99" s="1815" t="s">
        <v>12</v>
      </c>
      <c r="E99" s="1815" t="s">
        <v>39</v>
      </c>
      <c r="F99" s="1815" t="s">
        <v>12</v>
      </c>
      <c r="G99" s="1815" t="s">
        <v>39</v>
      </c>
      <c r="H99" s="1815" t="s">
        <v>12</v>
      </c>
      <c r="I99" s="1815" t="s">
        <v>39</v>
      </c>
      <c r="J99" s="1815" t="s">
        <v>12</v>
      </c>
      <c r="K99" s="1815" t="s">
        <v>39</v>
      </c>
      <c r="L99" s="1815" t="s">
        <v>12</v>
      </c>
      <c r="M99" s="1815" t="s">
        <v>39</v>
      </c>
      <c r="N99" s="1815" t="s">
        <v>12</v>
      </c>
      <c r="O99" s="1815" t="s">
        <v>39</v>
      </c>
      <c r="P99" s="1617" t="s">
        <v>12</v>
      </c>
      <c r="Q99" s="1815" t="s">
        <v>39</v>
      </c>
      <c r="R99" s="1815" t="s">
        <v>12</v>
      </c>
      <c r="S99" s="1815" t="s">
        <v>39</v>
      </c>
      <c r="T99" s="1815" t="s">
        <v>12</v>
      </c>
      <c r="U99" s="1815" t="s">
        <v>39</v>
      </c>
      <c r="V99" s="1815" t="s">
        <v>12</v>
      </c>
      <c r="W99" s="1815" t="s">
        <v>39</v>
      </c>
      <c r="X99" s="2377"/>
      <c r="Y99" s="2377"/>
      <c r="Z99" s="581"/>
      <c r="AA99" s="583"/>
      <c r="AB99" s="584"/>
      <c r="AC99" s="585"/>
      <c r="AD99" s="582"/>
      <c r="AE99" s="585"/>
      <c r="AF99" s="585"/>
      <c r="AG99" s="585"/>
    </row>
    <row r="100" spans="1:33" s="586" customFormat="1" ht="11.25" customHeight="1" outlineLevel="1">
      <c r="A100" s="2432"/>
      <c r="B100" s="2433"/>
      <c r="C100" s="535" t="s">
        <v>289</v>
      </c>
      <c r="D100" s="536"/>
      <c r="E100" s="536"/>
      <c r="F100" s="536"/>
      <c r="G100" s="536"/>
      <c r="H100" s="535"/>
      <c r="I100" s="552"/>
      <c r="J100" s="536"/>
      <c r="K100" s="536"/>
      <c r="L100" s="536"/>
      <c r="M100" s="536"/>
      <c r="N100" s="535"/>
      <c r="O100" s="552"/>
      <c r="P100" s="1618"/>
      <c r="Q100" s="536"/>
      <c r="R100" s="535"/>
      <c r="S100" s="552"/>
      <c r="T100" s="536"/>
      <c r="U100" s="536"/>
      <c r="V100" s="536"/>
      <c r="W100" s="536"/>
      <c r="X100" s="2377"/>
      <c r="Y100" s="2377"/>
      <c r="Z100" s="581"/>
      <c r="AA100" s="583"/>
      <c r="AB100" s="584"/>
      <c r="AC100" s="585"/>
      <c r="AD100" s="582"/>
      <c r="AE100" s="585"/>
      <c r="AF100" s="585"/>
      <c r="AG100" s="585"/>
    </row>
    <row r="101" spans="1:33" s="586" customFormat="1" ht="11.25" customHeight="1" outlineLevel="1">
      <c r="A101" s="2358" t="str">
        <f>A78</f>
        <v>КК 60</v>
      </c>
      <c r="B101" s="2359"/>
      <c r="C101" s="554">
        <f>W101/V101*1000</f>
        <v>13216.434732565547</v>
      </c>
      <c r="D101" s="2307">
        <f>D46</f>
        <v>291.92200000000003</v>
      </c>
      <c r="E101" s="2308">
        <v>3858.16806</v>
      </c>
      <c r="F101" s="553">
        <f>D49</f>
        <v>0</v>
      </c>
      <c r="G101" s="553"/>
      <c r="H101" s="554"/>
      <c r="I101" s="555"/>
      <c r="J101" s="553"/>
      <c r="K101" s="553"/>
      <c r="L101" s="553"/>
      <c r="M101" s="553"/>
      <c r="N101" s="554"/>
      <c r="O101" s="555"/>
      <c r="P101" s="1361"/>
      <c r="Q101" s="553"/>
      <c r="R101" s="905"/>
      <c r="S101" s="1236">
        <f t="shared" ref="S101" si="129">R101*G101/1000</f>
        <v>0</v>
      </c>
      <c r="T101" s="558"/>
      <c r="U101" s="558">
        <f t="shared" ref="U101" si="130">T101*G101/1000</f>
        <v>0</v>
      </c>
      <c r="V101" s="558">
        <f t="shared" ref="V101:V103" si="131">D101+F101+H101+J101+L101+N101+P101+R101+T101</f>
        <v>291.92200000000003</v>
      </c>
      <c r="W101" s="558">
        <f t="shared" ref="W101:W103" si="132">E101+G101+I101+K101+M101+O101+Q101+S101+U101</f>
        <v>3858.16806</v>
      </c>
      <c r="X101" s="556">
        <v>1.05</v>
      </c>
      <c r="Y101" s="554">
        <f t="shared" ref="Y101:Y107" si="133">V101*X101*10</f>
        <v>3065.1810000000005</v>
      </c>
      <c r="Z101" s="581"/>
      <c r="AA101" s="583"/>
      <c r="AB101" s="584"/>
      <c r="AC101" s="585"/>
      <c r="AD101" s="582"/>
      <c r="AE101" s="585"/>
      <c r="AF101" s="585"/>
      <c r="AG101" s="585"/>
    </row>
    <row r="102" spans="1:33" s="586" customFormat="1" ht="11.25" customHeight="1" outlineLevel="1">
      <c r="A102" s="2358" t="str">
        <f>A79</f>
        <v>КК 62</v>
      </c>
      <c r="B102" s="2359"/>
      <c r="C102" s="554" t="e">
        <f t="shared" ref="C102:C103" si="134">W102/V102*1000</f>
        <v>#DIV/0!</v>
      </c>
      <c r="D102" s="1970"/>
      <c r="E102" s="1970"/>
      <c r="F102" s="553"/>
      <c r="G102" s="553"/>
      <c r="H102" s="554"/>
      <c r="I102" s="555"/>
      <c r="J102" s="553"/>
      <c r="K102" s="553"/>
      <c r="L102" s="553"/>
      <c r="M102" s="553"/>
      <c r="N102" s="554"/>
      <c r="O102" s="555"/>
      <c r="P102" s="1361"/>
      <c r="Q102" s="553"/>
      <c r="R102" s="905">
        <f>E89</f>
        <v>0</v>
      </c>
      <c r="S102" s="558">
        <f>$C$79*R102/1000</f>
        <v>0</v>
      </c>
      <c r="T102" s="558"/>
      <c r="U102" s="558">
        <f>$C$79*T102/1000</f>
        <v>0</v>
      </c>
      <c r="V102" s="558">
        <f t="shared" si="131"/>
        <v>0</v>
      </c>
      <c r="W102" s="558">
        <f t="shared" si="132"/>
        <v>0</v>
      </c>
      <c r="X102" s="556">
        <v>1.07</v>
      </c>
      <c r="Y102" s="554">
        <f t="shared" si="133"/>
        <v>0</v>
      </c>
      <c r="Z102" s="581"/>
      <c r="AA102" s="583"/>
      <c r="AB102" s="584"/>
      <c r="AC102" s="585"/>
      <c r="AD102" s="582"/>
      <c r="AE102" s="585"/>
      <c r="AF102" s="585"/>
      <c r="AG102" s="585"/>
    </row>
    <row r="103" spans="1:33" s="586" customFormat="1" ht="11.25" customHeight="1" outlineLevel="1">
      <c r="A103" s="2358" t="str">
        <f>A80</f>
        <v>КК 63</v>
      </c>
      <c r="B103" s="2359"/>
      <c r="C103" s="554">
        <f t="shared" si="134"/>
        <v>13102.449056603777</v>
      </c>
      <c r="D103" s="2308">
        <f>F46</f>
        <v>2.65</v>
      </c>
      <c r="E103" s="2308">
        <v>34.721490000000003</v>
      </c>
      <c r="F103" s="553"/>
      <c r="G103" s="553"/>
      <c r="H103" s="554">
        <f>F52</f>
        <v>0</v>
      </c>
      <c r="I103" s="555"/>
      <c r="J103" s="553">
        <f>F55</f>
        <v>0</v>
      </c>
      <c r="K103" s="553"/>
      <c r="L103" s="553"/>
      <c r="M103" s="553"/>
      <c r="N103" s="554"/>
      <c r="O103" s="555"/>
      <c r="P103" s="1361"/>
      <c r="Q103" s="553"/>
      <c r="R103" s="905">
        <f>F89</f>
        <v>0</v>
      </c>
      <c r="S103" s="558">
        <f>$C$80*R103/1000</f>
        <v>0</v>
      </c>
      <c r="T103" s="558">
        <f>F90</f>
        <v>0</v>
      </c>
      <c r="U103" s="558">
        <f>$C$80*T103/1000</f>
        <v>0</v>
      </c>
      <c r="V103" s="558">
        <f t="shared" si="131"/>
        <v>2.65</v>
      </c>
      <c r="W103" s="558">
        <f t="shared" si="132"/>
        <v>34.721490000000003</v>
      </c>
      <c r="X103" s="556">
        <v>0.94</v>
      </c>
      <c r="Y103" s="554">
        <f t="shared" si="133"/>
        <v>24.909999999999997</v>
      </c>
      <c r="Z103" s="581"/>
      <c r="AA103" s="583"/>
      <c r="AB103" s="584"/>
      <c r="AC103" s="585"/>
      <c r="AD103" s="582"/>
      <c r="AE103" s="585"/>
      <c r="AF103" s="585"/>
      <c r="AG103" s="585"/>
    </row>
    <row r="104" spans="1:33" s="586" customFormat="1" ht="11.25" hidden="1" customHeight="1" outlineLevel="2">
      <c r="A104" s="2358"/>
      <c r="B104" s="2359"/>
      <c r="C104" s="554" t="e">
        <f t="shared" ref="C104:C107" si="135">S104/R104*1000</f>
        <v>#DIV/0!</v>
      </c>
      <c r="D104" s="553"/>
      <c r="E104" s="558"/>
      <c r="F104" s="553"/>
      <c r="G104" s="553"/>
      <c r="H104" s="554"/>
      <c r="I104" s="555"/>
      <c r="J104" s="553"/>
      <c r="K104" s="553"/>
      <c r="L104" s="553"/>
      <c r="M104" s="553"/>
      <c r="N104" s="554"/>
      <c r="O104" s="555"/>
      <c r="P104" s="1361"/>
      <c r="Q104" s="553"/>
      <c r="R104" s="905"/>
      <c r="S104" s="1236">
        <f t="shared" ref="S104:S107" si="136">R104*G104/1000</f>
        <v>0</v>
      </c>
      <c r="T104" s="558"/>
      <c r="U104" s="558">
        <f t="shared" ref="U104:U107" si="137">T104*G104/1000</f>
        <v>0</v>
      </c>
      <c r="V104" s="558">
        <f t="shared" ref="V104:V107" si="138">D104+F104+H104+J104+L104+N104+P104</f>
        <v>0</v>
      </c>
      <c r="W104" s="558">
        <f t="shared" ref="W104:W107" si="139">E104+G104+I104+K104+M104+O104+Q104</f>
        <v>0</v>
      </c>
      <c r="X104" s="556">
        <v>0.96</v>
      </c>
      <c r="Y104" s="554">
        <f t="shared" si="133"/>
        <v>0</v>
      </c>
      <c r="Z104" s="581"/>
      <c r="AA104" s="583"/>
      <c r="AB104" s="584"/>
      <c r="AC104" s="585"/>
      <c r="AD104" s="582"/>
      <c r="AE104" s="585"/>
      <c r="AF104" s="585"/>
      <c r="AG104" s="585"/>
    </row>
    <row r="105" spans="1:33" s="586" customFormat="1" ht="11.25" hidden="1" customHeight="1" outlineLevel="2">
      <c r="A105" s="2358"/>
      <c r="B105" s="2359"/>
      <c r="C105" s="554" t="e">
        <f t="shared" si="135"/>
        <v>#DIV/0!</v>
      </c>
      <c r="D105" s="553"/>
      <c r="E105" s="558"/>
      <c r="F105" s="553"/>
      <c r="G105" s="553"/>
      <c r="H105" s="554"/>
      <c r="I105" s="555"/>
      <c r="J105" s="553"/>
      <c r="K105" s="553"/>
      <c r="L105" s="553"/>
      <c r="M105" s="553"/>
      <c r="N105" s="554"/>
      <c r="O105" s="555"/>
      <c r="P105" s="1361"/>
      <c r="Q105" s="553"/>
      <c r="R105" s="905">
        <f>L83</f>
        <v>0</v>
      </c>
      <c r="S105" s="1236">
        <f t="shared" si="136"/>
        <v>0</v>
      </c>
      <c r="T105" s="558">
        <f>L90</f>
        <v>0.58663999999999994</v>
      </c>
      <c r="U105" s="558">
        <f t="shared" si="137"/>
        <v>0</v>
      </c>
      <c r="V105" s="558">
        <f t="shared" si="138"/>
        <v>0</v>
      </c>
      <c r="W105" s="558">
        <f t="shared" si="139"/>
        <v>0</v>
      </c>
      <c r="X105" s="556">
        <v>1.1100000000000001</v>
      </c>
      <c r="Y105" s="554">
        <f t="shared" si="133"/>
        <v>0</v>
      </c>
      <c r="Z105" s="581"/>
      <c r="AA105" s="583"/>
      <c r="AB105" s="584"/>
      <c r="AC105" s="585"/>
      <c r="AD105" s="582"/>
      <c r="AE105" s="585"/>
      <c r="AF105" s="585"/>
      <c r="AG105" s="585"/>
    </row>
    <row r="106" spans="1:33" s="586" customFormat="1" ht="11.25" hidden="1" customHeight="1" outlineLevel="2">
      <c r="A106" s="2358"/>
      <c r="B106" s="2359"/>
      <c r="C106" s="554" t="e">
        <f t="shared" si="135"/>
        <v>#DIV/0!</v>
      </c>
      <c r="D106" s="553"/>
      <c r="E106" s="558"/>
      <c r="F106" s="553"/>
      <c r="G106" s="553"/>
      <c r="H106" s="554"/>
      <c r="I106" s="555"/>
      <c r="J106" s="553"/>
      <c r="K106" s="553"/>
      <c r="L106" s="553"/>
      <c r="M106" s="553"/>
      <c r="N106" s="554"/>
      <c r="O106" s="555"/>
      <c r="P106" s="1361"/>
      <c r="Q106" s="553"/>
      <c r="R106" s="905"/>
      <c r="S106" s="1236">
        <f t="shared" si="136"/>
        <v>0</v>
      </c>
      <c r="T106" s="558"/>
      <c r="U106" s="558">
        <f t="shared" si="137"/>
        <v>0</v>
      </c>
      <c r="V106" s="558">
        <f t="shared" si="138"/>
        <v>0</v>
      </c>
      <c r="W106" s="558">
        <f t="shared" si="139"/>
        <v>0</v>
      </c>
      <c r="X106" s="556">
        <v>1.1100000000000001</v>
      </c>
      <c r="Y106" s="554">
        <f t="shared" si="133"/>
        <v>0</v>
      </c>
      <c r="Z106" s="581"/>
      <c r="AA106" s="583"/>
      <c r="AB106" s="584"/>
      <c r="AC106" s="585"/>
      <c r="AD106" s="582"/>
      <c r="AE106" s="585"/>
      <c r="AF106" s="585"/>
      <c r="AG106" s="585"/>
    </row>
    <row r="107" spans="1:33" s="586" customFormat="1" ht="11.25" hidden="1" customHeight="1" outlineLevel="2">
      <c r="A107" s="2358"/>
      <c r="B107" s="2359"/>
      <c r="C107" s="554" t="e">
        <f t="shared" si="135"/>
        <v>#DIV/0!</v>
      </c>
      <c r="D107" s="553"/>
      <c r="E107" s="558"/>
      <c r="F107" s="553"/>
      <c r="G107" s="553"/>
      <c r="H107" s="554"/>
      <c r="I107" s="555"/>
      <c r="J107" s="553"/>
      <c r="K107" s="553"/>
      <c r="L107" s="553"/>
      <c r="M107" s="553"/>
      <c r="N107" s="554"/>
      <c r="O107" s="555"/>
      <c r="P107" s="1361"/>
      <c r="Q107" s="553"/>
      <c r="R107" s="905"/>
      <c r="S107" s="1236">
        <f t="shared" si="136"/>
        <v>0</v>
      </c>
      <c r="T107" s="558"/>
      <c r="U107" s="558">
        <f t="shared" si="137"/>
        <v>0</v>
      </c>
      <c r="V107" s="558">
        <f t="shared" si="138"/>
        <v>0</v>
      </c>
      <c r="W107" s="558">
        <f t="shared" si="139"/>
        <v>0</v>
      </c>
      <c r="X107" s="556">
        <v>1.06</v>
      </c>
      <c r="Y107" s="554">
        <f t="shared" si="133"/>
        <v>0</v>
      </c>
      <c r="Z107" s="581"/>
      <c r="AA107" s="583"/>
      <c r="AB107" s="584"/>
      <c r="AC107" s="585"/>
      <c r="AD107" s="582"/>
      <c r="AE107" s="585"/>
      <c r="AF107" s="585"/>
      <c r="AG107" s="585"/>
    </row>
    <row r="108" spans="1:33" s="586" customFormat="1" ht="11.25" customHeight="1" outlineLevel="1" collapsed="1">
      <c r="A108" s="2430" t="s">
        <v>298</v>
      </c>
      <c r="B108" s="2431"/>
      <c r="C108" s="554" t="e">
        <f>S108/R108*1000</f>
        <v>#DIV/0!</v>
      </c>
      <c r="D108" s="549">
        <f>SUM(D101:D107)</f>
        <v>294.572</v>
      </c>
      <c r="E108" s="549">
        <f t="shared" ref="E108:W108" si="140">SUM(E101:E107)</f>
        <v>3892.8895499999999</v>
      </c>
      <c r="F108" s="549">
        <f t="shared" si="140"/>
        <v>0</v>
      </c>
      <c r="G108" s="549">
        <f t="shared" si="140"/>
        <v>0</v>
      </c>
      <c r="H108" s="549">
        <f t="shared" si="140"/>
        <v>0</v>
      </c>
      <c r="I108" s="549">
        <f t="shared" si="140"/>
        <v>0</v>
      </c>
      <c r="J108" s="549">
        <f t="shared" si="140"/>
        <v>0</v>
      </c>
      <c r="K108" s="549">
        <f t="shared" si="140"/>
        <v>0</v>
      </c>
      <c r="L108" s="549">
        <f t="shared" si="140"/>
        <v>0</v>
      </c>
      <c r="M108" s="549">
        <f t="shared" si="140"/>
        <v>0</v>
      </c>
      <c r="N108" s="549">
        <f t="shared" si="140"/>
        <v>0</v>
      </c>
      <c r="O108" s="549">
        <f t="shared" si="140"/>
        <v>0</v>
      </c>
      <c r="P108" s="549">
        <f t="shared" si="140"/>
        <v>0</v>
      </c>
      <c r="Q108" s="549">
        <f>SUM(Q101:Q107)</f>
        <v>0</v>
      </c>
      <c r="R108" s="549">
        <f t="shared" si="140"/>
        <v>0</v>
      </c>
      <c r="S108" s="549">
        <f t="shared" si="140"/>
        <v>0</v>
      </c>
      <c r="T108" s="549">
        <f t="shared" si="140"/>
        <v>0.58663999999999994</v>
      </c>
      <c r="U108" s="549">
        <f t="shared" si="140"/>
        <v>0</v>
      </c>
      <c r="V108" s="549">
        <f t="shared" si="140"/>
        <v>294.572</v>
      </c>
      <c r="W108" s="549">
        <f t="shared" si="140"/>
        <v>3892.8895499999999</v>
      </c>
      <c r="X108" s="561"/>
      <c r="Y108" s="554"/>
      <c r="Z108" s="581"/>
      <c r="AA108" s="583"/>
      <c r="AB108" s="584"/>
      <c r="AC108" s="585"/>
      <c r="AD108" s="582"/>
      <c r="AE108" s="585"/>
      <c r="AF108" s="585"/>
      <c r="AG108" s="585"/>
    </row>
    <row r="109" spans="1:33" s="586" customFormat="1" ht="11.25" customHeight="1" outlineLevel="1">
      <c r="A109" s="2428" t="str">
        <f t="shared" ref="A109:A114" si="141">A86</f>
        <v>патока</v>
      </c>
      <c r="B109" s="2429"/>
      <c r="C109" s="554">
        <f t="shared" ref="C109:C113" si="142">W109/V109*1000</f>
        <v>9452.2489986210512</v>
      </c>
      <c r="D109" s="2307">
        <f>L46</f>
        <v>30.457999999999998</v>
      </c>
      <c r="E109" s="2308">
        <v>287.89659999999998</v>
      </c>
      <c r="F109" s="553">
        <f>L49</f>
        <v>0</v>
      </c>
      <c r="G109" s="553"/>
      <c r="H109" s="554"/>
      <c r="I109" s="555"/>
      <c r="J109" s="553"/>
      <c r="K109" s="553"/>
      <c r="L109" s="562"/>
      <c r="M109" s="553"/>
      <c r="N109" s="563"/>
      <c r="O109" s="555"/>
      <c r="P109" s="1368"/>
      <c r="Q109" s="553"/>
      <c r="R109" s="548"/>
      <c r="S109" s="1236">
        <f>R109*G109/1000</f>
        <v>0</v>
      </c>
      <c r="T109" s="568"/>
      <c r="U109" s="558">
        <f>T109*G109/1000</f>
        <v>0</v>
      </c>
      <c r="V109" s="558">
        <f>D109+F109+H109+J109+L109+N109+P109+R109+T109</f>
        <v>30.457999999999998</v>
      </c>
      <c r="W109" s="558">
        <f>E109+G109+I109+K109+M109+O109+Q109</f>
        <v>287.89659999999998</v>
      </c>
      <c r="X109" s="564">
        <v>1.34</v>
      </c>
      <c r="Y109" s="554">
        <f t="shared" ref="Y109:Y114" si="143">V109*X109*10</f>
        <v>408.13720000000001</v>
      </c>
      <c r="Z109" s="581"/>
      <c r="AA109" s="583"/>
      <c r="AB109" s="584"/>
      <c r="AC109" s="585"/>
      <c r="AD109" s="582"/>
      <c r="AE109" s="585"/>
      <c r="AF109" s="585"/>
      <c r="AG109" s="585"/>
    </row>
    <row r="110" spans="1:33" s="586" customFormat="1" ht="11.25" customHeight="1" outlineLevel="1">
      <c r="A110" s="2428" t="str">
        <f t="shared" si="141"/>
        <v>силос</v>
      </c>
      <c r="B110" s="2429"/>
      <c r="C110" s="554">
        <f t="shared" si="142"/>
        <v>959.86436257259481</v>
      </c>
      <c r="D110" s="2309">
        <f>N46</f>
        <v>1181.7550000000001</v>
      </c>
      <c r="E110" s="2308">
        <f>1051.80042+83.15952</f>
        <v>1134.95994</v>
      </c>
      <c r="F110" s="553">
        <f>N49</f>
        <v>0</v>
      </c>
      <c r="G110" s="553"/>
      <c r="H110" s="554">
        <f>N52</f>
        <v>0</v>
      </c>
      <c r="I110" s="555"/>
      <c r="J110" s="553">
        <f>N55</f>
        <v>0</v>
      </c>
      <c r="K110" s="553"/>
      <c r="L110" s="553"/>
      <c r="M110" s="553"/>
      <c r="N110" s="554"/>
      <c r="O110" s="555"/>
      <c r="P110" s="1361"/>
      <c r="Q110" s="553"/>
      <c r="R110" s="905">
        <f>N89</f>
        <v>0</v>
      </c>
      <c r="S110" s="1236">
        <f>R110*G110/1000</f>
        <v>0</v>
      </c>
      <c r="T110" s="558">
        <f>N90</f>
        <v>0.66200000000000003</v>
      </c>
      <c r="U110" s="558">
        <f>T110*G110/1000</f>
        <v>0</v>
      </c>
      <c r="V110" s="558">
        <f>D110+F110+H110+J110+L110+N110+P110+R110+T110</f>
        <v>1182.4170000000001</v>
      </c>
      <c r="W110" s="558">
        <f>E110+G110+I110+K110+M110+O110+Q110</f>
        <v>1134.95994</v>
      </c>
      <c r="X110" s="564">
        <v>3.9</v>
      </c>
      <c r="Y110" s="554">
        <f t="shared" si="143"/>
        <v>46114.262999999999</v>
      </c>
      <c r="Z110" s="581"/>
      <c r="AA110" s="583"/>
      <c r="AB110" s="584"/>
      <c r="AC110" s="585"/>
      <c r="AD110" s="582"/>
      <c r="AE110" s="585"/>
      <c r="AF110" s="585"/>
      <c r="AG110" s="585"/>
    </row>
    <row r="111" spans="1:33" s="586" customFormat="1" ht="11.25" customHeight="1" outlineLevel="1">
      <c r="A111" s="2428" t="str">
        <f t="shared" si="141"/>
        <v>сено</v>
      </c>
      <c r="B111" s="2429"/>
      <c r="C111" s="554">
        <f t="shared" si="142"/>
        <v>1414.5844098324351</v>
      </c>
      <c r="D111" s="2309">
        <f>O46</f>
        <v>21.466999999999999</v>
      </c>
      <c r="E111" s="2308">
        <v>38.326749999999997</v>
      </c>
      <c r="F111" s="553">
        <f>O49</f>
        <v>0</v>
      </c>
      <c r="G111" s="553"/>
      <c r="H111" s="554">
        <f>O52</f>
        <v>0</v>
      </c>
      <c r="I111" s="555"/>
      <c r="J111" s="553">
        <f>O55</f>
        <v>0</v>
      </c>
      <c r="K111" s="553"/>
      <c r="L111" s="553"/>
      <c r="M111" s="553"/>
      <c r="N111" s="554"/>
      <c r="O111" s="555"/>
      <c r="P111" s="1361"/>
      <c r="Q111" s="553"/>
      <c r="R111" s="905">
        <f>O89</f>
        <v>0</v>
      </c>
      <c r="S111" s="1236">
        <f>R111*G111/1000</f>
        <v>0</v>
      </c>
      <c r="T111" s="558">
        <f>O90</f>
        <v>5.6269999999999998</v>
      </c>
      <c r="U111" s="558">
        <f>T111*G111/1000</f>
        <v>0</v>
      </c>
      <c r="V111" s="558">
        <f>D111+F111+H111+J111+L111+N111+P111+R111+T111</f>
        <v>27.093999999999998</v>
      </c>
      <c r="W111" s="558">
        <f>E111+G111+I111+K111+M111+O111+Q111</f>
        <v>38.326749999999997</v>
      </c>
      <c r="X111" s="564">
        <v>1.8</v>
      </c>
      <c r="Y111" s="554">
        <f t="shared" si="143"/>
        <v>487.69200000000001</v>
      </c>
      <c r="Z111" s="581"/>
      <c r="AA111" s="583"/>
      <c r="AB111" s="584"/>
      <c r="AC111" s="585"/>
      <c r="AD111" s="582"/>
      <c r="AE111" s="585"/>
      <c r="AF111" s="585"/>
      <c r="AG111" s="585"/>
    </row>
    <row r="112" spans="1:33" s="586" customFormat="1" ht="11.25" customHeight="1" outlineLevel="1">
      <c r="A112" s="2428" t="str">
        <f t="shared" si="141"/>
        <v>МТ (зеленка)</v>
      </c>
      <c r="B112" s="2429"/>
      <c r="C112" s="554">
        <f t="shared" si="142"/>
        <v>402.07167940306033</v>
      </c>
      <c r="D112" s="2307">
        <f>M46</f>
        <v>1299.03</v>
      </c>
      <c r="E112" s="2308">
        <v>524.30808000000002</v>
      </c>
      <c r="F112" s="553">
        <f>M49</f>
        <v>0</v>
      </c>
      <c r="G112" s="553"/>
      <c r="H112" s="554">
        <f>M52</f>
        <v>0</v>
      </c>
      <c r="I112" s="555"/>
      <c r="J112" s="553">
        <f>M55</f>
        <v>0</v>
      </c>
      <c r="K112" s="553"/>
      <c r="L112" s="553"/>
      <c r="M112" s="553"/>
      <c r="N112" s="554"/>
      <c r="O112" s="555"/>
      <c r="P112" s="1361"/>
      <c r="Q112" s="553"/>
      <c r="R112" s="905">
        <f>M89</f>
        <v>0</v>
      </c>
      <c r="S112" s="1236">
        <f>R112*G112/1000</f>
        <v>0</v>
      </c>
      <c r="T112" s="575">
        <f>M90</f>
        <v>4.98644</v>
      </c>
      <c r="U112" s="558">
        <f>T112*G112/1000</f>
        <v>0</v>
      </c>
      <c r="V112" s="558">
        <f>D112+F112+H112+J112+L112+N112+P112+R112+T112</f>
        <v>1304.0164399999999</v>
      </c>
      <c r="W112" s="558">
        <f>E112+G112+I112+K112+M112+O112+Q112</f>
        <v>524.30808000000002</v>
      </c>
      <c r="X112" s="561">
        <v>1.24</v>
      </c>
      <c r="Y112" s="554">
        <f t="shared" si="143"/>
        <v>16169.803855999999</v>
      </c>
      <c r="Z112" s="581"/>
      <c r="AA112" s="583"/>
      <c r="AB112" s="584"/>
      <c r="AC112" s="585"/>
      <c r="AD112" s="582"/>
      <c r="AE112" s="585"/>
      <c r="AF112" s="585"/>
      <c r="AG112" s="585"/>
    </row>
    <row r="113" spans="1:38" s="586" customFormat="1" ht="11.25" customHeight="1" outlineLevel="1">
      <c r="A113" s="2428" t="str">
        <f t="shared" si="141"/>
        <v>соль</v>
      </c>
      <c r="B113" s="2429"/>
      <c r="C113" s="554">
        <f t="shared" si="142"/>
        <v>6060.2254428341384</v>
      </c>
      <c r="D113" s="2174">
        <f>P46</f>
        <v>0.1242</v>
      </c>
      <c r="E113" s="2308">
        <v>0.75268000000000002</v>
      </c>
      <c r="F113" s="553">
        <f>P49</f>
        <v>0</v>
      </c>
      <c r="G113" s="553">
        <f t="shared" ref="G113:Q113" si="144">G110+G111+G112</f>
        <v>0</v>
      </c>
      <c r="H113" s="554">
        <f>P52</f>
        <v>0</v>
      </c>
      <c r="I113" s="555">
        <f t="shared" si="144"/>
        <v>0</v>
      </c>
      <c r="J113" s="553">
        <f>P55</f>
        <v>0</v>
      </c>
      <c r="K113" s="553">
        <f t="shared" si="144"/>
        <v>0</v>
      </c>
      <c r="L113" s="553">
        <f t="shared" si="144"/>
        <v>0</v>
      </c>
      <c r="M113" s="553">
        <f t="shared" si="144"/>
        <v>0</v>
      </c>
      <c r="N113" s="554">
        <f t="shared" si="144"/>
        <v>0</v>
      </c>
      <c r="O113" s="555">
        <f t="shared" si="144"/>
        <v>0</v>
      </c>
      <c r="P113" s="1361">
        <f t="shared" si="144"/>
        <v>0</v>
      </c>
      <c r="Q113" s="553">
        <f t="shared" si="144"/>
        <v>0</v>
      </c>
      <c r="R113" s="905">
        <f>P89</f>
        <v>0</v>
      </c>
      <c r="S113" s="1236">
        <f>R113*G113/1000</f>
        <v>0</v>
      </c>
      <c r="T113" s="575">
        <f>P90</f>
        <v>0</v>
      </c>
      <c r="U113" s="558">
        <f>T113*G113/1000</f>
        <v>0</v>
      </c>
      <c r="V113" s="558">
        <f>D113+F113+H113+J113+L113+N113+P113+R113+T113</f>
        <v>0.1242</v>
      </c>
      <c r="W113" s="558">
        <f>E113+G113+I113+K113+M113+O113+Q113</f>
        <v>0.75268000000000002</v>
      </c>
      <c r="X113" s="561"/>
      <c r="Y113" s="554">
        <f t="shared" si="143"/>
        <v>0</v>
      </c>
      <c r="Z113" s="581"/>
      <c r="AA113" s="583"/>
      <c r="AB113" s="584"/>
      <c r="AC113" s="585"/>
      <c r="AD113" s="582"/>
      <c r="AE113" s="585"/>
      <c r="AF113" s="585"/>
      <c r="AG113" s="585"/>
    </row>
    <row r="114" spans="1:38" s="586" customFormat="1" ht="11.25" customHeight="1" outlineLevel="1">
      <c r="A114" s="2430" t="str">
        <f t="shared" si="141"/>
        <v>прочие корма</v>
      </c>
      <c r="B114" s="2431"/>
      <c r="C114" s="554">
        <f>W114/V114*1000</f>
        <v>461.4735747001846</v>
      </c>
      <c r="D114" s="2308">
        <f>1.8345+0.1456+3.9937+27.8311</f>
        <v>33.804899999999996</v>
      </c>
      <c r="E114" s="2308">
        <f>8.04708+6.4064+205.63139+471.24137</f>
        <v>691.3262400000001</v>
      </c>
      <c r="F114" s="553"/>
      <c r="G114" s="553"/>
      <c r="H114" s="554"/>
      <c r="I114" s="555"/>
      <c r="J114" s="553"/>
      <c r="K114" s="553"/>
      <c r="L114" s="569"/>
      <c r="M114" s="553"/>
      <c r="N114" s="554"/>
      <c r="O114" s="555"/>
      <c r="P114" s="1381"/>
      <c r="Q114" s="553"/>
      <c r="R114" s="568">
        <f t="shared" ref="R114:U114" si="145">R110+R111+R113+R109+R113</f>
        <v>0</v>
      </c>
      <c r="S114" s="568">
        <f t="shared" si="145"/>
        <v>0</v>
      </c>
      <c r="T114" s="568">
        <f>T110+T111+T113+T109+T113</f>
        <v>6.2889999999999997</v>
      </c>
      <c r="U114" s="568">
        <f t="shared" si="145"/>
        <v>0</v>
      </c>
      <c r="V114" s="568">
        <f>V109+V110+V111+V112+V113</f>
        <v>2544.1096400000006</v>
      </c>
      <c r="W114" s="568">
        <f>W110+W111+W113</f>
        <v>1174.03937</v>
      </c>
      <c r="X114" s="564"/>
      <c r="Y114" s="554">
        <f t="shared" si="143"/>
        <v>0</v>
      </c>
      <c r="Z114" s="581"/>
      <c r="AA114" s="583"/>
      <c r="AB114" s="584"/>
      <c r="AC114" s="585"/>
      <c r="AD114" s="582"/>
      <c r="AE114" s="585"/>
      <c r="AF114" s="585"/>
      <c r="AG114" s="585"/>
    </row>
    <row r="115" spans="1:38" s="586" customFormat="1" ht="11.25" customHeight="1" outlineLevel="1">
      <c r="A115" s="897"/>
      <c r="B115" s="1814"/>
      <c r="C115" s="554"/>
      <c r="D115" s="558"/>
      <c r="E115" s="553"/>
      <c r="F115" s="553"/>
      <c r="G115" s="553"/>
      <c r="H115" s="554"/>
      <c r="I115" s="555"/>
      <c r="J115" s="553"/>
      <c r="K115" s="553"/>
      <c r="L115" s="569"/>
      <c r="M115" s="553"/>
      <c r="N115" s="554"/>
      <c r="O115" s="555"/>
      <c r="P115" s="1381"/>
      <c r="Q115" s="553"/>
      <c r="R115" s="1625"/>
      <c r="S115" s="1626"/>
      <c r="T115" s="1627"/>
      <c r="U115" s="1628"/>
      <c r="V115" s="1628"/>
      <c r="W115" s="1628"/>
      <c r="X115" s="188"/>
      <c r="Y115" s="560"/>
      <c r="Z115" s="581"/>
      <c r="AA115" s="583"/>
      <c r="AB115" s="584"/>
      <c r="AC115" s="585"/>
      <c r="AD115" s="582"/>
      <c r="AE115" s="585"/>
      <c r="AF115" s="585"/>
      <c r="AG115" s="585"/>
    </row>
    <row r="116" spans="1:38" s="586" customFormat="1" ht="11.25" customHeight="1" outlineLevel="1">
      <c r="A116" s="2434" t="s">
        <v>302</v>
      </c>
      <c r="B116" s="2434"/>
      <c r="C116" s="563"/>
      <c r="D116" s="576">
        <f>D108+D109+D113+D114+D110+D111+D112</f>
        <v>2861.2111000000004</v>
      </c>
      <c r="E116" s="576">
        <f t="shared" ref="E116:U116" si="146">E108+E109+E113+E114+E110+E111+E112</f>
        <v>6570.4598399999995</v>
      </c>
      <c r="F116" s="576">
        <f t="shared" si="146"/>
        <v>0</v>
      </c>
      <c r="G116" s="576">
        <f t="shared" si="146"/>
        <v>0</v>
      </c>
      <c r="H116" s="576">
        <f t="shared" si="146"/>
        <v>0</v>
      </c>
      <c r="I116" s="576">
        <f t="shared" si="146"/>
        <v>0</v>
      </c>
      <c r="J116" s="576">
        <f t="shared" si="146"/>
        <v>0</v>
      </c>
      <c r="K116" s="576">
        <f t="shared" si="146"/>
        <v>0</v>
      </c>
      <c r="L116" s="576">
        <f t="shared" si="146"/>
        <v>0</v>
      </c>
      <c r="M116" s="576">
        <f t="shared" si="146"/>
        <v>0</v>
      </c>
      <c r="N116" s="576">
        <f t="shared" si="146"/>
        <v>0</v>
      </c>
      <c r="O116" s="576">
        <f t="shared" si="146"/>
        <v>0</v>
      </c>
      <c r="P116" s="576">
        <f t="shared" si="146"/>
        <v>0</v>
      </c>
      <c r="Q116" s="576">
        <f t="shared" si="146"/>
        <v>0</v>
      </c>
      <c r="R116" s="1629">
        <f t="shared" si="146"/>
        <v>0</v>
      </c>
      <c r="S116" s="1629">
        <f t="shared" si="146"/>
        <v>0</v>
      </c>
      <c r="T116" s="1629">
        <f t="shared" si="146"/>
        <v>18.15108</v>
      </c>
      <c r="U116" s="1629">
        <f t="shared" si="146"/>
        <v>0</v>
      </c>
      <c r="V116" s="1627">
        <f>V108+V114</f>
        <v>2838.6816400000007</v>
      </c>
      <c r="W116" s="1627">
        <f t="shared" ref="W116" si="147">W108+W109+W114+W112</f>
        <v>5879.1336000000001</v>
      </c>
      <c r="X116" s="1630"/>
      <c r="Y116" s="1630">
        <f>SUM(Y101:Y114)</f>
        <v>66269.987055999998</v>
      </c>
      <c r="Z116" s="581"/>
      <c r="AA116" s="581"/>
      <c r="AB116" s="581"/>
      <c r="AC116" s="581"/>
      <c r="AD116" s="582"/>
      <c r="AE116" s="581"/>
      <c r="AF116" s="581"/>
      <c r="AG116" s="581"/>
    </row>
    <row r="117" spans="1:38" s="586" customFormat="1" ht="11.25" customHeight="1" outlineLevel="1">
      <c r="A117" s="588"/>
      <c r="B117" s="588"/>
      <c r="C117" s="589"/>
      <c r="D117" s="590"/>
      <c r="E117" s="590"/>
      <c r="F117" s="590"/>
      <c r="G117" s="590"/>
      <c r="H117" s="590"/>
      <c r="I117" s="590"/>
      <c r="J117" s="590"/>
      <c r="K117" s="590"/>
      <c r="L117" s="590"/>
      <c r="M117" s="590"/>
      <c r="N117" s="590"/>
      <c r="O117" s="590"/>
      <c r="P117" s="1620"/>
      <c r="Q117" s="590"/>
      <c r="R117" s="1627"/>
      <c r="S117" s="1627"/>
      <c r="T117" s="1627"/>
      <c r="U117" s="1627"/>
      <c r="V117" s="1627"/>
      <c r="W117" s="1627"/>
      <c r="X117" s="1630"/>
      <c r="Y117" s="1630"/>
      <c r="Z117" s="581"/>
      <c r="AA117" s="581"/>
      <c r="AB117" s="581"/>
      <c r="AC117" s="581"/>
      <c r="AD117" s="582"/>
      <c r="AE117" s="581"/>
      <c r="AF117" s="581"/>
      <c r="AG117" s="581"/>
    </row>
    <row r="118" spans="1:38" s="586" customFormat="1" ht="11.25" customHeight="1" outlineLevel="1">
      <c r="A118" s="2347" t="s">
        <v>429</v>
      </c>
      <c r="B118" s="2347"/>
      <c r="C118" s="563"/>
      <c r="D118" s="576"/>
      <c r="E118" s="576" t="e">
        <f>E116/D118*10</f>
        <v>#DIV/0!</v>
      </c>
      <c r="F118" s="576"/>
      <c r="G118" s="576" t="e">
        <f>G116/F118*10</f>
        <v>#DIV/0!</v>
      </c>
      <c r="H118" s="576"/>
      <c r="I118" s="576" t="e">
        <f>I116/H118*10</f>
        <v>#DIV/0!</v>
      </c>
      <c r="J118" s="576"/>
      <c r="K118" s="576" t="e">
        <f>K116/J118*10</f>
        <v>#DIV/0!</v>
      </c>
      <c r="L118" s="576"/>
      <c r="M118" s="576" t="e">
        <f>M116/L118*10</f>
        <v>#DIV/0!</v>
      </c>
      <c r="N118" s="576"/>
      <c r="O118" s="576" t="e">
        <f>O116/N118*10</f>
        <v>#DIV/0!</v>
      </c>
      <c r="P118" s="1381">
        <f>P105*T105*10+P106*T106*10+P107*T107*10</f>
        <v>0</v>
      </c>
      <c r="Q118" s="576" t="e">
        <f>Q116/P118*10</f>
        <v>#DIV/0!</v>
      </c>
      <c r="R118" s="575">
        <f>(R101*AE101+R102*AE102+R103*AE103+R104*AE104+R105*AE105+R106*AE106+R107*AE107+R109*AE109+R110*AE110+R111*AE111+R113*AE113+R112*AE112)*10</f>
        <v>0</v>
      </c>
      <c r="S118" s="575" t="e">
        <f>S116/R118*10</f>
        <v>#DIV/0!</v>
      </c>
      <c r="T118" s="575">
        <f>(T101*AE101+T102*AE102+T104*AE104+T105*AE105+T106*AE106+T107*AE107+T109*AE109+T110*AE110+T111*AE111+T113*AE113+T112*AE112)*10</f>
        <v>0</v>
      </c>
      <c r="U118" s="575" t="e">
        <f>U116/T118*10</f>
        <v>#DIV/0!</v>
      </c>
      <c r="V118" s="575">
        <f>Y116</f>
        <v>66269.987055999998</v>
      </c>
      <c r="W118" s="575">
        <f>W116/V118*10</f>
        <v>0.88714874729520732</v>
      </c>
      <c r="X118" s="563"/>
      <c r="Y118" s="563"/>
      <c r="Z118" s="581"/>
      <c r="AA118" s="581"/>
      <c r="AB118" s="581"/>
      <c r="AC118" s="581"/>
      <c r="AD118" s="582"/>
      <c r="AE118" s="581"/>
      <c r="AF118" s="581"/>
      <c r="AG118" s="581"/>
    </row>
    <row r="119" spans="1:38" s="586" customFormat="1" ht="11.25" customHeight="1">
      <c r="C119" s="582"/>
      <c r="E119" s="580"/>
      <c r="F119" s="580"/>
      <c r="G119" s="580"/>
      <c r="H119" s="580"/>
      <c r="I119" s="580"/>
      <c r="J119" s="580"/>
      <c r="K119" s="580"/>
      <c r="L119" s="580"/>
      <c r="N119" s="582"/>
      <c r="O119" s="580"/>
      <c r="P119" s="1621"/>
      <c r="Q119" s="581"/>
      <c r="R119" s="580"/>
      <c r="T119" s="582"/>
      <c r="U119" s="581"/>
      <c r="V119" s="580"/>
      <c r="X119" s="580"/>
      <c r="AA119" s="580"/>
      <c r="AB119" s="581"/>
      <c r="AC119" s="580"/>
      <c r="AD119" s="582"/>
      <c r="AE119" s="581"/>
      <c r="AF119" s="585"/>
      <c r="AG119" s="585"/>
      <c r="AH119" s="585"/>
      <c r="AI119" s="585"/>
      <c r="AJ119" s="585"/>
      <c r="AK119" s="585"/>
      <c r="AL119" s="585"/>
    </row>
  </sheetData>
  <mergeCells count="120">
    <mergeCell ref="A111:B111"/>
    <mergeCell ref="A112:B112"/>
    <mergeCell ref="A113:B113"/>
    <mergeCell ref="A114:B114"/>
    <mergeCell ref="A116:B116"/>
    <mergeCell ref="A118:B118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77:B77"/>
    <mergeCell ref="V75:W75"/>
    <mergeCell ref="X75:X77"/>
    <mergeCell ref="Y75:Y77"/>
    <mergeCell ref="A98:B99"/>
    <mergeCell ref="A100:B100"/>
    <mergeCell ref="A101:B101"/>
    <mergeCell ref="D98:E98"/>
    <mergeCell ref="F98:G98"/>
    <mergeCell ref="H98:I98"/>
    <mergeCell ref="J98:K98"/>
    <mergeCell ref="L98:M98"/>
    <mergeCell ref="N98:O98"/>
    <mergeCell ref="P98:Q98"/>
    <mergeCell ref="R98:S98"/>
    <mergeCell ref="A88:B88"/>
    <mergeCell ref="A89:B89"/>
    <mergeCell ref="A91:B91"/>
    <mergeCell ref="A93:B93"/>
    <mergeCell ref="T75:U75"/>
    <mergeCell ref="V98:W98"/>
    <mergeCell ref="X98:X100"/>
    <mergeCell ref="Y98:Y100"/>
    <mergeCell ref="AI3:AI5"/>
    <mergeCell ref="AA4:AA5"/>
    <mergeCell ref="AB4:AB5"/>
    <mergeCell ref="AE4:AE5"/>
    <mergeCell ref="AF4:AH4"/>
    <mergeCell ref="B43:C44"/>
    <mergeCell ref="A90:B90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A83:B83"/>
    <mergeCell ref="A84:B84"/>
    <mergeCell ref="A85:B85"/>
    <mergeCell ref="A86:B86"/>
    <mergeCell ref="A87:B87"/>
    <mergeCell ref="A78:B78"/>
    <mergeCell ref="A79:B79"/>
    <mergeCell ref="A3:A6"/>
    <mergeCell ref="B3:C5"/>
    <mergeCell ref="D3:V3"/>
    <mergeCell ref="W3:X5"/>
    <mergeCell ref="Y3:Z5"/>
    <mergeCell ref="D4:L4"/>
    <mergeCell ref="M4:V4"/>
    <mergeCell ref="D5:E5"/>
    <mergeCell ref="F5:G5"/>
    <mergeCell ref="H5:I5"/>
    <mergeCell ref="J5:K5"/>
    <mergeCell ref="M5:N5"/>
    <mergeCell ref="O5:P5"/>
    <mergeCell ref="Q5:R5"/>
    <mergeCell ref="S5:T5"/>
    <mergeCell ref="U5:V5"/>
    <mergeCell ref="B59:C59"/>
    <mergeCell ref="B60:C60"/>
    <mergeCell ref="B61:C61"/>
    <mergeCell ref="B62:C62"/>
    <mergeCell ref="AA3:AB3"/>
    <mergeCell ref="AC3:AC5"/>
    <mergeCell ref="AD3:AD5"/>
    <mergeCell ref="AE3:AH3"/>
    <mergeCell ref="T43:T44"/>
    <mergeCell ref="Q43:Q44"/>
    <mergeCell ref="R43:R44"/>
    <mergeCell ref="S43:S44"/>
    <mergeCell ref="B45:C45"/>
    <mergeCell ref="B46:C46"/>
    <mergeCell ref="B47:C47"/>
    <mergeCell ref="B58:C58"/>
    <mergeCell ref="D43:K43"/>
    <mergeCell ref="L43:P43"/>
    <mergeCell ref="B68:C68"/>
    <mergeCell ref="B69:C69"/>
    <mergeCell ref="B70:C70"/>
    <mergeCell ref="A95:B95"/>
    <mergeCell ref="T98:U98"/>
    <mergeCell ref="B63:C63"/>
    <mergeCell ref="B64:C64"/>
    <mergeCell ref="B65:C65"/>
    <mergeCell ref="B66:C66"/>
    <mergeCell ref="B67:C67"/>
    <mergeCell ref="B71:C71"/>
    <mergeCell ref="B72:C72"/>
    <mergeCell ref="A75:B76"/>
    <mergeCell ref="D75:E75"/>
    <mergeCell ref="F75:G75"/>
    <mergeCell ref="H75:I75"/>
    <mergeCell ref="J75:K75"/>
    <mergeCell ref="L75:M75"/>
    <mergeCell ref="N75:O75"/>
    <mergeCell ref="P75:Q75"/>
    <mergeCell ref="R75:S75"/>
    <mergeCell ref="A80:B80"/>
    <mergeCell ref="A81:B81"/>
    <mergeCell ref="A82:B82"/>
  </mergeCells>
  <phoneticPr fontId="18" type="noConversion"/>
  <pageMargins left="0.23622047244094491" right="0.19685039370078741" top="0.47244094488188981" bottom="0.51181102362204722" header="0.19685039370078741" footer="0.23622047244094491"/>
  <pageSetup paperSize="9" scale="75" orientation="landscape" r:id="rId1"/>
  <headerFooter alignWithMargins="0">
    <oddHeader>&amp;CОборотка Шувалово-1 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M135"/>
  <sheetViews>
    <sheetView topLeftCell="J21" workbookViewId="0">
      <selection activeCell="AD26" sqref="AD26"/>
    </sheetView>
  </sheetViews>
  <sheetFormatPr defaultColWidth="4.42578125" defaultRowHeight="17.25" customHeight="1" outlineLevelRow="1" outlineLevelCol="1"/>
  <cols>
    <col min="1" max="1" width="8.85546875" style="472" customWidth="1"/>
    <col min="2" max="2" width="4.7109375" style="472" customWidth="1"/>
    <col min="3" max="3" width="5.85546875" style="473" customWidth="1"/>
    <col min="4" max="4" width="5.42578125" style="472" bestFit="1" customWidth="1"/>
    <col min="5" max="5" width="6" style="474" customWidth="1"/>
    <col min="6" max="6" width="5.7109375" style="474" customWidth="1"/>
    <col min="7" max="7" width="6.5703125" style="474" bestFit="1" customWidth="1"/>
    <col min="8" max="8" width="5.140625" style="474" customWidth="1"/>
    <col min="9" max="9" width="5.85546875" style="474" bestFit="1" customWidth="1"/>
    <col min="10" max="10" width="4.85546875" style="474" customWidth="1"/>
    <col min="11" max="11" width="6" style="474" customWidth="1"/>
    <col min="12" max="12" width="5.85546875" style="474" customWidth="1"/>
    <col min="13" max="13" width="6" style="474" customWidth="1"/>
    <col min="14" max="14" width="6.42578125" style="474" customWidth="1"/>
    <col min="15" max="15" width="6.5703125" style="472" bestFit="1" customWidth="1"/>
    <col min="16" max="16" width="5.7109375" style="473" customWidth="1"/>
    <col min="17" max="17" width="6.7109375" style="474" bestFit="1" customWidth="1"/>
    <col min="18" max="18" width="7" style="473" customWidth="1"/>
    <col min="19" max="19" width="7.42578125" style="475" customWidth="1"/>
    <col min="20" max="20" width="7.28515625" style="474" customWidth="1"/>
    <col min="21" max="21" width="5.5703125" style="472" customWidth="1"/>
    <col min="22" max="22" width="4.85546875" style="473" customWidth="1"/>
    <col min="23" max="23" width="4.140625" style="475" customWidth="1"/>
    <col min="24" max="24" width="6" style="474" customWidth="1"/>
    <col min="25" max="25" width="5.140625" style="472" customWidth="1"/>
    <col min="26" max="26" width="5.5703125" style="474" customWidth="1"/>
    <col min="27" max="27" width="6.140625" style="472" customWidth="1"/>
    <col min="28" max="28" width="7.140625" style="472" bestFit="1" customWidth="1"/>
    <col min="29" max="29" width="4.5703125" style="474" customWidth="1"/>
    <col min="30" max="30" width="4.28515625" style="475" customWidth="1"/>
    <col min="31" max="31" width="5.85546875" style="474" bestFit="1" customWidth="1"/>
    <col min="32" max="32" width="6" style="475" customWidth="1" outlineLevel="1"/>
    <col min="33" max="33" width="3.85546875" style="475" customWidth="1" outlineLevel="1"/>
    <col min="34" max="34" width="4.7109375" style="476" customWidth="1" outlineLevel="1"/>
    <col min="35" max="35" width="3.85546875" style="476" customWidth="1" outlineLevel="1"/>
    <col min="36" max="36" width="5.5703125" style="476" customWidth="1"/>
    <col min="37" max="37" width="5" style="476" customWidth="1"/>
    <col min="38" max="38" width="5.28515625" style="476" customWidth="1"/>
    <col min="39" max="39" width="4.85546875" style="476" customWidth="1"/>
    <col min="40" max="16384" width="4.42578125" style="472"/>
  </cols>
  <sheetData>
    <row r="1" spans="1:39" ht="12" customHeight="1">
      <c r="A1" s="471" t="s">
        <v>656</v>
      </c>
    </row>
    <row r="2" spans="1:39" s="471" customFormat="1" ht="9.75" customHeight="1" thickBot="1">
      <c r="A2" s="471" t="s">
        <v>627</v>
      </c>
      <c r="C2" s="477"/>
      <c r="E2" s="478"/>
      <c r="F2" s="478"/>
      <c r="G2" s="478"/>
      <c r="H2" s="478"/>
      <c r="I2" s="478"/>
      <c r="J2" s="478"/>
      <c r="K2" s="478"/>
      <c r="L2" s="478"/>
      <c r="M2" s="478"/>
      <c r="N2" s="478"/>
      <c r="P2" s="477"/>
      <c r="Q2" s="478"/>
      <c r="R2" s="477"/>
      <c r="S2" s="479"/>
      <c r="T2" s="478"/>
      <c r="V2" s="477"/>
      <c r="W2" s="479"/>
      <c r="X2" s="478"/>
      <c r="Z2" s="478"/>
      <c r="AC2" s="478"/>
      <c r="AD2" s="479"/>
      <c r="AE2" s="478"/>
      <c r="AF2" s="479"/>
      <c r="AG2" s="479"/>
      <c r="AH2" s="480"/>
      <c r="AI2" s="480"/>
      <c r="AJ2" s="480"/>
      <c r="AK2" s="480"/>
      <c r="AL2" s="480"/>
      <c r="AM2" s="480"/>
    </row>
    <row r="3" spans="1:39" ht="10.5" customHeight="1" thickBot="1">
      <c r="A3" s="2378" t="s">
        <v>0</v>
      </c>
      <c r="B3" s="2381" t="s">
        <v>1</v>
      </c>
      <c r="C3" s="2382"/>
      <c r="D3" s="2387" t="s">
        <v>19</v>
      </c>
      <c r="E3" s="2388"/>
      <c r="F3" s="2388"/>
      <c r="G3" s="2388"/>
      <c r="H3" s="2388"/>
      <c r="I3" s="2388"/>
      <c r="J3" s="2388"/>
      <c r="K3" s="2388"/>
      <c r="L3" s="2388"/>
      <c r="M3" s="2388"/>
      <c r="N3" s="2388"/>
      <c r="O3" s="2388"/>
      <c r="P3" s="2388"/>
      <c r="Q3" s="2388"/>
      <c r="R3" s="2388"/>
      <c r="S3" s="2388"/>
      <c r="T3" s="2388"/>
      <c r="U3" s="2388"/>
      <c r="V3" s="2389"/>
      <c r="W3" s="2390" t="s">
        <v>2</v>
      </c>
      <c r="X3" s="2391"/>
      <c r="Y3" s="2381" t="s">
        <v>3</v>
      </c>
      <c r="Z3" s="2382"/>
      <c r="AA3" s="2360" t="s">
        <v>4</v>
      </c>
      <c r="AB3" s="2361"/>
      <c r="AC3" s="2362" t="s">
        <v>20</v>
      </c>
      <c r="AD3" s="2365" t="s">
        <v>21</v>
      </c>
      <c r="AE3" s="2368" t="s">
        <v>22</v>
      </c>
      <c r="AF3" s="2369"/>
      <c r="AG3" s="2369"/>
      <c r="AH3" s="2370"/>
      <c r="AI3" s="2413" t="s">
        <v>23</v>
      </c>
      <c r="AJ3" s="472"/>
      <c r="AK3" s="472"/>
      <c r="AL3" s="472"/>
      <c r="AM3" s="472"/>
    </row>
    <row r="4" spans="1:39" ht="11.25" customHeight="1" thickBot="1">
      <c r="A4" s="2379"/>
      <c r="B4" s="2383"/>
      <c r="C4" s="2384"/>
      <c r="D4" s="2396" t="s">
        <v>5</v>
      </c>
      <c r="E4" s="2397"/>
      <c r="F4" s="2397"/>
      <c r="G4" s="2397"/>
      <c r="H4" s="2397"/>
      <c r="I4" s="2397"/>
      <c r="J4" s="2397"/>
      <c r="K4" s="2397"/>
      <c r="L4" s="2398"/>
      <c r="M4" s="2396" t="s">
        <v>6</v>
      </c>
      <c r="N4" s="2397"/>
      <c r="O4" s="2397"/>
      <c r="P4" s="2397"/>
      <c r="Q4" s="2397"/>
      <c r="R4" s="2397"/>
      <c r="S4" s="2397"/>
      <c r="T4" s="2397"/>
      <c r="U4" s="2397"/>
      <c r="V4" s="2398"/>
      <c r="W4" s="2392"/>
      <c r="X4" s="2393"/>
      <c r="Y4" s="2383"/>
      <c r="Z4" s="2384"/>
      <c r="AA4" s="2416" t="s">
        <v>418</v>
      </c>
      <c r="AB4" s="2418" t="s">
        <v>419</v>
      </c>
      <c r="AC4" s="2363"/>
      <c r="AD4" s="2366"/>
      <c r="AE4" s="2420" t="s">
        <v>24</v>
      </c>
      <c r="AF4" s="2422" t="s">
        <v>25</v>
      </c>
      <c r="AG4" s="2422"/>
      <c r="AH4" s="2423"/>
      <c r="AI4" s="2414"/>
      <c r="AJ4" s="472"/>
      <c r="AK4" s="472"/>
      <c r="AL4" s="472"/>
      <c r="AM4" s="472"/>
    </row>
    <row r="5" spans="1:39" ht="18" customHeight="1" thickBot="1">
      <c r="A5" s="2379"/>
      <c r="B5" s="2385"/>
      <c r="C5" s="2386"/>
      <c r="D5" s="2399" t="s">
        <v>26</v>
      </c>
      <c r="E5" s="2400"/>
      <c r="F5" s="2399" t="s">
        <v>7</v>
      </c>
      <c r="G5" s="2401"/>
      <c r="H5" s="2402" t="s">
        <v>433</v>
      </c>
      <c r="I5" s="2403"/>
      <c r="J5" s="2404" t="s">
        <v>27</v>
      </c>
      <c r="K5" s="2405"/>
      <c r="L5" s="481" t="s">
        <v>8</v>
      </c>
      <c r="M5" s="2406" t="s">
        <v>28</v>
      </c>
      <c r="N5" s="2407"/>
      <c r="O5" s="2408" t="s">
        <v>29</v>
      </c>
      <c r="P5" s="2409"/>
      <c r="Q5" s="2406" t="s">
        <v>692</v>
      </c>
      <c r="R5" s="2407"/>
      <c r="S5" s="2410" t="s">
        <v>9</v>
      </c>
      <c r="T5" s="2411"/>
      <c r="U5" s="2412" t="s">
        <v>31</v>
      </c>
      <c r="V5" s="2411"/>
      <c r="W5" s="2394"/>
      <c r="X5" s="2395"/>
      <c r="Y5" s="2385"/>
      <c r="Z5" s="2386"/>
      <c r="AA5" s="2417"/>
      <c r="AB5" s="2419"/>
      <c r="AC5" s="2364"/>
      <c r="AD5" s="2367"/>
      <c r="AE5" s="2421"/>
      <c r="AF5" s="482" t="s">
        <v>506</v>
      </c>
      <c r="AG5" s="482" t="s">
        <v>309</v>
      </c>
      <c r="AH5" s="483" t="s">
        <v>312</v>
      </c>
      <c r="AI5" s="2415"/>
      <c r="AJ5" s="472"/>
      <c r="AK5" s="472"/>
      <c r="AL5" s="472"/>
      <c r="AM5" s="472"/>
    </row>
    <row r="6" spans="1:39" ht="12" customHeight="1" thickBot="1">
      <c r="A6" s="2380"/>
      <c r="B6" s="484" t="s">
        <v>10</v>
      </c>
      <c r="C6" s="485" t="s">
        <v>11</v>
      </c>
      <c r="D6" s="484" t="s">
        <v>10</v>
      </c>
      <c r="E6" s="486" t="s">
        <v>11</v>
      </c>
      <c r="F6" s="487" t="s">
        <v>10</v>
      </c>
      <c r="G6" s="488" t="s">
        <v>33</v>
      </c>
      <c r="H6" s="489" t="s">
        <v>10</v>
      </c>
      <c r="I6" s="486" t="s">
        <v>33</v>
      </c>
      <c r="J6" s="487" t="s">
        <v>10</v>
      </c>
      <c r="K6" s="488" t="s">
        <v>33</v>
      </c>
      <c r="L6" s="490" t="s">
        <v>33</v>
      </c>
      <c r="M6" s="491" t="s">
        <v>10</v>
      </c>
      <c r="N6" s="486" t="s">
        <v>11</v>
      </c>
      <c r="O6" s="492" t="s">
        <v>10</v>
      </c>
      <c r="P6" s="485" t="s">
        <v>11</v>
      </c>
      <c r="Q6" s="491" t="s">
        <v>10</v>
      </c>
      <c r="R6" s="1255" t="s">
        <v>11</v>
      </c>
      <c r="S6" s="492" t="s">
        <v>10</v>
      </c>
      <c r="T6" s="488" t="s">
        <v>11</v>
      </c>
      <c r="U6" s="491" t="s">
        <v>10</v>
      </c>
      <c r="V6" s="488" t="s">
        <v>11</v>
      </c>
      <c r="W6" s="491" t="s">
        <v>10</v>
      </c>
      <c r="X6" s="486" t="s">
        <v>11</v>
      </c>
      <c r="Y6" s="492" t="s">
        <v>10</v>
      </c>
      <c r="Z6" s="488" t="s">
        <v>11</v>
      </c>
      <c r="AA6" s="493"/>
      <c r="AB6" s="494"/>
      <c r="AC6" s="495" t="s">
        <v>13</v>
      </c>
      <c r="AD6" s="1240" t="s">
        <v>14</v>
      </c>
      <c r="AE6" s="496" t="s">
        <v>15</v>
      </c>
      <c r="AF6" s="497" t="s">
        <v>15</v>
      </c>
      <c r="AG6" s="497" t="s">
        <v>15</v>
      </c>
      <c r="AH6" s="498" t="s">
        <v>15</v>
      </c>
      <c r="AI6" s="1241" t="s">
        <v>314</v>
      </c>
      <c r="AJ6" s="472"/>
      <c r="AK6" s="472"/>
      <c r="AL6" s="472"/>
      <c r="AM6" s="472"/>
    </row>
    <row r="7" spans="1:39" ht="15.75" customHeight="1">
      <c r="A7" s="499" t="s">
        <v>34</v>
      </c>
      <c r="B7" s="502">
        <f>'[1]св-во Шув-1'!B7</f>
        <v>10</v>
      </c>
      <c r="C7" s="1817">
        <f>'[1]св-во Шув-1'!C7</f>
        <v>2.2000000000000002</v>
      </c>
      <c r="D7" s="502"/>
      <c r="E7" s="1817"/>
      <c r="F7" s="502"/>
      <c r="G7" s="1817"/>
      <c r="H7" s="502"/>
      <c r="I7" s="697"/>
      <c r="J7" s="502">
        <f>'[1]св-во Шув-1'!J7+'[2]св-во Шув-1'!J7</f>
        <v>2</v>
      </c>
      <c r="K7" s="1593">
        <f>'[1]св-во Шув-1'!K7+'[2]св-во Шув-1'!K7</f>
        <v>0.4</v>
      </c>
      <c r="L7" s="1817"/>
      <c r="M7" s="502">
        <f>'[1]св-во Шув-1'!M7+'[2]св-во Шув-1'!M7</f>
        <v>0</v>
      </c>
      <c r="N7" s="1593">
        <f>'[1]св-во Шув-1'!N7+'[2]св-во Шув-1'!N7</f>
        <v>0</v>
      </c>
      <c r="O7" s="502"/>
      <c r="P7" s="1817"/>
      <c r="Q7" s="502"/>
      <c r="R7" s="1817"/>
      <c r="S7" s="502">
        <f>'[1]св-во Шув-1'!S7+'[2]св-во Шув-1'!S7</f>
        <v>0</v>
      </c>
      <c r="T7" s="1593">
        <f>'[1]св-во Шув-1'!T7+'[2]св-во Шув-1'!T7</f>
        <v>0</v>
      </c>
      <c r="U7" s="502">
        <f>'[1]св-во Шув-1'!U7+'[2]св-во Шув-1'!U7</f>
        <v>0</v>
      </c>
      <c r="V7" s="1593">
        <f>'[1]св-во Шув-1'!V7+'[2]св-во Шув-1'!V7</f>
        <v>0</v>
      </c>
      <c r="W7" s="502">
        <f>B7+D7+F7+H7+J7-M7-O7-Q7-S7-U7</f>
        <v>12</v>
      </c>
      <c r="X7" s="503">
        <f>C7+E7+G7+I7+K7+L7-N7-P7-R7-T7-V7</f>
        <v>2.6</v>
      </c>
      <c r="Y7" s="502">
        <f>(B7+W7)/2</f>
        <v>11</v>
      </c>
      <c r="Z7" s="503">
        <f>(X7+C7)/(W7+B7)*Y7</f>
        <v>2.4000000000000004</v>
      </c>
      <c r="AA7" s="1256"/>
      <c r="AB7" s="1768">
        <f>'[1]св-во Шув-1'!AB7+'[2]св-во Шув-1'!AB7</f>
        <v>3649.5</v>
      </c>
      <c r="AC7" s="504"/>
      <c r="AD7" s="505">
        <v>3</v>
      </c>
      <c r="AE7" s="506">
        <f>AB7*AD7/1000</f>
        <v>10.948499999999999</v>
      </c>
      <c r="AF7" s="507">
        <f t="shared" ref="AF7:AH8" si="0">K39</f>
        <v>10.948499999999999</v>
      </c>
      <c r="AG7" s="507">
        <f t="shared" si="0"/>
        <v>0</v>
      </c>
      <c r="AH7" s="508">
        <f t="shared" si="0"/>
        <v>0</v>
      </c>
      <c r="AI7" s="509">
        <f>E80</f>
        <v>0</v>
      </c>
      <c r="AJ7" s="472"/>
      <c r="AK7" s="472"/>
      <c r="AL7" s="472"/>
      <c r="AM7" s="472"/>
    </row>
    <row r="8" spans="1:39" ht="15.75" customHeight="1" outlineLevel="1">
      <c r="A8" s="510" t="s">
        <v>16</v>
      </c>
      <c r="B8" s="2147">
        <v>10</v>
      </c>
      <c r="C8" s="2148">
        <v>2.2000000000000002</v>
      </c>
      <c r="D8" s="513"/>
      <c r="E8" s="1826"/>
      <c r="F8" s="513"/>
      <c r="G8" s="1826"/>
      <c r="H8" s="513"/>
      <c r="I8" s="1827"/>
      <c r="J8" s="2147">
        <v>2</v>
      </c>
      <c r="K8" s="2149">
        <v>0.41399999999999998</v>
      </c>
      <c r="L8" s="1827"/>
      <c r="M8" s="2147">
        <v>1</v>
      </c>
      <c r="N8" s="2148">
        <v>0.24</v>
      </c>
      <c r="O8" s="513"/>
      <c r="P8" s="1826"/>
      <c r="Q8" s="513"/>
      <c r="R8" s="1826"/>
      <c r="S8" s="2147">
        <v>4</v>
      </c>
      <c r="T8" s="2148">
        <v>0.84399999999999997</v>
      </c>
      <c r="U8" s="513"/>
      <c r="V8" s="1880"/>
      <c r="W8" s="513">
        <f>B8+D8+F8+H8+J8-M8-O8-Q8-S8-U8</f>
        <v>7</v>
      </c>
      <c r="X8" s="514">
        <f>C8+E8+G8+I8+K8+L8-N8-P8-R8-T8-V8</f>
        <v>1.5300000000000007</v>
      </c>
      <c r="Y8" s="1344">
        <f>(B8+W8)/2</f>
        <v>8.5</v>
      </c>
      <c r="Z8" s="731">
        <f>(X8+C8)/(W8+B8)*Y8</f>
        <v>1.8650000000000007</v>
      </c>
      <c r="AA8" s="1769"/>
      <c r="AB8" s="2150">
        <v>3444</v>
      </c>
      <c r="AC8" s="515"/>
      <c r="AD8" s="1220">
        <f>AE8/AB8*1000</f>
        <v>2.9965156794425085</v>
      </c>
      <c r="AE8" s="516">
        <f>AF8+AG8+AH8</f>
        <v>10.32</v>
      </c>
      <c r="AF8" s="517">
        <f t="shared" si="0"/>
        <v>10.32</v>
      </c>
      <c r="AG8" s="517">
        <f t="shared" si="0"/>
        <v>0</v>
      </c>
      <c r="AH8" s="518">
        <f t="shared" si="0"/>
        <v>0</v>
      </c>
      <c r="AI8" s="519">
        <f>E103</f>
        <v>3.7418300000000002</v>
      </c>
      <c r="AJ8" s="472"/>
      <c r="AK8" s="472"/>
      <c r="AL8" s="472"/>
      <c r="AM8" s="472"/>
    </row>
    <row r="9" spans="1:39" s="522" customFormat="1" ht="15.75" customHeight="1" outlineLevel="1" thickBot="1">
      <c r="A9" s="520" t="s">
        <v>17</v>
      </c>
      <c r="B9" s="1882">
        <f t="shared" ref="B9:AB9" si="1">B8-B7</f>
        <v>0</v>
      </c>
      <c r="C9" s="1883">
        <f t="shared" si="1"/>
        <v>0</v>
      </c>
      <c r="D9" s="1882">
        <f t="shared" si="1"/>
        <v>0</v>
      </c>
      <c r="E9" s="1839">
        <f t="shared" si="1"/>
        <v>0</v>
      </c>
      <c r="F9" s="1882">
        <f t="shared" si="1"/>
        <v>0</v>
      </c>
      <c r="G9" s="1835">
        <f t="shared" si="1"/>
        <v>0</v>
      </c>
      <c r="H9" s="1884">
        <f t="shared" si="1"/>
        <v>0</v>
      </c>
      <c r="I9" s="1839">
        <f t="shared" si="1"/>
        <v>0</v>
      </c>
      <c r="J9" s="1882">
        <f t="shared" si="1"/>
        <v>0</v>
      </c>
      <c r="K9" s="1835">
        <f t="shared" si="1"/>
        <v>1.3999999999999957E-2</v>
      </c>
      <c r="L9" s="1836">
        <f t="shared" si="1"/>
        <v>0</v>
      </c>
      <c r="M9" s="1884">
        <f t="shared" si="1"/>
        <v>1</v>
      </c>
      <c r="N9" s="1839">
        <f t="shared" si="1"/>
        <v>0.24</v>
      </c>
      <c r="O9" s="1882">
        <f t="shared" si="1"/>
        <v>0</v>
      </c>
      <c r="P9" s="1883">
        <f t="shared" si="1"/>
        <v>0</v>
      </c>
      <c r="Q9" s="1884">
        <f t="shared" si="1"/>
        <v>0</v>
      </c>
      <c r="R9" s="1885">
        <f t="shared" si="1"/>
        <v>0</v>
      </c>
      <c r="S9" s="1882">
        <f t="shared" si="1"/>
        <v>4</v>
      </c>
      <c r="T9" s="1835">
        <f t="shared" si="1"/>
        <v>0.84399999999999997</v>
      </c>
      <c r="U9" s="1884">
        <f t="shared" si="1"/>
        <v>0</v>
      </c>
      <c r="V9" s="1839">
        <f t="shared" si="1"/>
        <v>0</v>
      </c>
      <c r="W9" s="1834">
        <f t="shared" si="1"/>
        <v>-5</v>
      </c>
      <c r="X9" s="1835">
        <f t="shared" si="1"/>
        <v>-1.0699999999999994</v>
      </c>
      <c r="Y9" s="1834">
        <f t="shared" si="1"/>
        <v>-2.5</v>
      </c>
      <c r="Z9" s="1835">
        <f t="shared" si="1"/>
        <v>-0.5349999999999997</v>
      </c>
      <c r="AA9" s="1840">
        <f t="shared" si="1"/>
        <v>0</v>
      </c>
      <c r="AB9" s="1840">
        <f t="shared" si="1"/>
        <v>-205.5</v>
      </c>
      <c r="AC9" s="521">
        <f t="shared" ref="AC9:AI9" si="2">AC8-AC7</f>
        <v>0</v>
      </c>
      <c r="AD9" s="1221">
        <f t="shared" si="2"/>
        <v>-3.4843205574914826E-3</v>
      </c>
      <c r="AE9" s="1222">
        <f t="shared" si="2"/>
        <v>-0.62849999999999895</v>
      </c>
      <c r="AF9" s="1223">
        <f>AE9-AG9</f>
        <v>-0.62849999999999895</v>
      </c>
      <c r="AG9" s="1223">
        <f t="shared" si="2"/>
        <v>0</v>
      </c>
      <c r="AH9" s="1224">
        <f t="shared" si="2"/>
        <v>0</v>
      </c>
      <c r="AI9" s="1225">
        <f t="shared" si="2"/>
        <v>3.7418300000000002</v>
      </c>
    </row>
    <row r="10" spans="1:39" ht="15.75" customHeight="1">
      <c r="A10" s="523" t="s">
        <v>628</v>
      </c>
      <c r="B10" s="502">
        <f>'[1]св-во Шув-1'!B10</f>
        <v>638</v>
      </c>
      <c r="C10" s="1817">
        <f>'[1]св-во Шув-1'!C10</f>
        <v>98.311999999999998</v>
      </c>
      <c r="D10" s="502"/>
      <c r="E10" s="1817"/>
      <c r="F10" s="502"/>
      <c r="G10" s="1817"/>
      <c r="H10" s="502"/>
      <c r="I10" s="697"/>
      <c r="J10" s="502">
        <f>'[1]св-во Шув-1'!J10+'[2]св-во Шув-1'!J10</f>
        <v>309</v>
      </c>
      <c r="K10" s="1593">
        <f>'[1]св-во Шув-1'!K10+'[2]св-во Шув-1'!K10</f>
        <v>46.664999999999992</v>
      </c>
      <c r="L10" s="1817"/>
      <c r="M10" s="502">
        <f>'[1]св-во Шув-1'!M10+'[2]св-во Шув-1'!M10</f>
        <v>311</v>
      </c>
      <c r="N10" s="1593">
        <f>'[1]св-во Шув-1'!N10+'[2]св-во Шув-1'!N10</f>
        <v>46.695</v>
      </c>
      <c r="O10" s="502"/>
      <c r="P10" s="1817"/>
      <c r="Q10" s="502"/>
      <c r="R10" s="1817"/>
      <c r="S10" s="502">
        <f>'[1]св-во Шув-1'!S10+'[2]св-во Шув-1'!S10</f>
        <v>12</v>
      </c>
      <c r="T10" s="1593">
        <f>'[1]св-во Шув-1'!T10+'[2]св-во Шув-1'!T10</f>
        <v>1.7999999999999998</v>
      </c>
      <c r="U10" s="502">
        <f>'[1]св-во Шув-1'!U10+'[2]св-во Шув-1'!U10</f>
        <v>0</v>
      </c>
      <c r="V10" s="1593">
        <f>'[1]св-во Шув-1'!V10+'[2]св-во Шув-1'!V10</f>
        <v>0</v>
      </c>
      <c r="W10" s="502">
        <f>B10+D10+F10+H10+J10-M10-O10-Q10-S10-U10</f>
        <v>624</v>
      </c>
      <c r="X10" s="503">
        <f>C10+E10+G10+I10+K10+L10-N10-P10-R10-T10-V10</f>
        <v>96.481999999999985</v>
      </c>
      <c r="Y10" s="502">
        <f>(B10+W10)/2</f>
        <v>631</v>
      </c>
      <c r="Z10" s="503">
        <f>(X10+C10)/(W10+B10)*Y10</f>
        <v>97.396999999999991</v>
      </c>
      <c r="AA10" s="1256"/>
      <c r="AB10" s="1768">
        <f>'[1]св-во Шув-1'!AB10+'[2]св-во Шув-1'!AB10</f>
        <v>240201.5</v>
      </c>
      <c r="AC10" s="504"/>
      <c r="AD10" s="505">
        <v>2.6</v>
      </c>
      <c r="AE10" s="506">
        <f>AB10*AD10/1000</f>
        <v>624.52390000000003</v>
      </c>
      <c r="AF10" s="507">
        <f t="shared" ref="AF10:AH11" si="3">K42</f>
        <v>624.52390000000003</v>
      </c>
      <c r="AG10" s="507">
        <f t="shared" si="3"/>
        <v>0</v>
      </c>
      <c r="AH10" s="508">
        <f t="shared" si="3"/>
        <v>0</v>
      </c>
      <c r="AI10" s="509">
        <f>G80</f>
        <v>0</v>
      </c>
      <c r="AJ10" s="472"/>
      <c r="AK10" s="472"/>
      <c r="AL10" s="472"/>
      <c r="AM10" s="472"/>
    </row>
    <row r="11" spans="1:39" ht="15.75" customHeight="1" outlineLevel="1">
      <c r="A11" s="510" t="s">
        <v>16</v>
      </c>
      <c r="B11" s="2147">
        <v>657</v>
      </c>
      <c r="C11" s="2148">
        <v>101.919</v>
      </c>
      <c r="D11" s="513"/>
      <c r="E11" s="1826"/>
      <c r="F11" s="513"/>
      <c r="G11" s="1826"/>
      <c r="H11" s="2147">
        <v>12</v>
      </c>
      <c r="I11" s="2151">
        <v>21.34</v>
      </c>
      <c r="J11" s="2147">
        <v>181</v>
      </c>
      <c r="K11" s="2149">
        <v>32.113999999999997</v>
      </c>
      <c r="L11" s="1827"/>
      <c r="M11" s="2147">
        <v>204</v>
      </c>
      <c r="N11" s="2148">
        <v>32.387999999999998</v>
      </c>
      <c r="O11" s="513"/>
      <c r="P11" s="1826"/>
      <c r="Q11" s="513"/>
      <c r="R11" s="1826"/>
      <c r="S11" s="2147">
        <v>7</v>
      </c>
      <c r="T11" s="2148">
        <v>1.335</v>
      </c>
      <c r="U11" s="513"/>
      <c r="V11" s="1880"/>
      <c r="W11" s="513">
        <f>B11+D11+F11+H11+J11-M11-O11-Q11-S11-U11</f>
        <v>639</v>
      </c>
      <c r="X11" s="514">
        <f>C11+E11+G11+I11+K11+L11-N11-P11-R11-T11-V11</f>
        <v>121.64999999999999</v>
      </c>
      <c r="Y11" s="1344">
        <f>(B11+W11)/2</f>
        <v>648</v>
      </c>
      <c r="Z11" s="731">
        <f>(X11+C11)/(W11+B11)*Y11</f>
        <v>111.78450000000001</v>
      </c>
      <c r="AA11" s="1769"/>
      <c r="AB11" s="2150">
        <v>240705</v>
      </c>
      <c r="AC11" s="515"/>
      <c r="AD11" s="1220">
        <f>AE11/AB11*1000</f>
        <v>3.317733325024407</v>
      </c>
      <c r="AE11" s="516">
        <f>AF11+AG11+AH11</f>
        <v>798.59499999999991</v>
      </c>
      <c r="AF11" s="517">
        <f t="shared" si="3"/>
        <v>798.00299999999993</v>
      </c>
      <c r="AG11" s="517">
        <f t="shared" si="3"/>
        <v>0</v>
      </c>
      <c r="AH11" s="518">
        <f t="shared" si="3"/>
        <v>0.59199999999999997</v>
      </c>
      <c r="AI11" s="519">
        <f>E106</f>
        <v>203.10588999999999</v>
      </c>
      <c r="AJ11" s="472"/>
      <c r="AK11" s="472"/>
      <c r="AL11" s="472"/>
      <c r="AM11" s="472"/>
    </row>
    <row r="12" spans="1:39" s="522" customFormat="1" ht="15.75" customHeight="1" outlineLevel="1" thickBot="1">
      <c r="A12" s="520" t="s">
        <v>17</v>
      </c>
      <c r="B12" s="1882">
        <f t="shared" ref="B12:AI12" si="4">B11-B10</f>
        <v>19</v>
      </c>
      <c r="C12" s="1883">
        <f t="shared" si="4"/>
        <v>3.6069999999999993</v>
      </c>
      <c r="D12" s="1882">
        <f t="shared" si="4"/>
        <v>0</v>
      </c>
      <c r="E12" s="1839">
        <f t="shared" si="4"/>
        <v>0</v>
      </c>
      <c r="F12" s="1882">
        <f t="shared" si="4"/>
        <v>0</v>
      </c>
      <c r="G12" s="1835">
        <f t="shared" si="4"/>
        <v>0</v>
      </c>
      <c r="H12" s="1884">
        <f t="shared" si="4"/>
        <v>12</v>
      </c>
      <c r="I12" s="1839">
        <f t="shared" si="4"/>
        <v>21.34</v>
      </c>
      <c r="J12" s="1882">
        <f t="shared" si="4"/>
        <v>-128</v>
      </c>
      <c r="K12" s="1835">
        <f t="shared" si="4"/>
        <v>-14.550999999999995</v>
      </c>
      <c r="L12" s="1836">
        <f t="shared" si="4"/>
        <v>0</v>
      </c>
      <c r="M12" s="1884">
        <f t="shared" si="4"/>
        <v>-107</v>
      </c>
      <c r="N12" s="1839">
        <f t="shared" si="4"/>
        <v>-14.307000000000002</v>
      </c>
      <c r="O12" s="1882">
        <f t="shared" si="4"/>
        <v>0</v>
      </c>
      <c r="P12" s="1883">
        <f t="shared" si="4"/>
        <v>0</v>
      </c>
      <c r="Q12" s="1884">
        <f t="shared" si="4"/>
        <v>0</v>
      </c>
      <c r="R12" s="1885">
        <f t="shared" si="4"/>
        <v>0</v>
      </c>
      <c r="S12" s="1882">
        <f t="shared" si="4"/>
        <v>-5</v>
      </c>
      <c r="T12" s="1835">
        <f t="shared" si="4"/>
        <v>-0.46499999999999986</v>
      </c>
      <c r="U12" s="1884">
        <f t="shared" si="4"/>
        <v>0</v>
      </c>
      <c r="V12" s="1839">
        <f t="shared" si="4"/>
        <v>0</v>
      </c>
      <c r="W12" s="1834">
        <f t="shared" si="4"/>
        <v>15</v>
      </c>
      <c r="X12" s="1835">
        <f t="shared" si="4"/>
        <v>25.168000000000006</v>
      </c>
      <c r="Y12" s="1834">
        <f t="shared" si="4"/>
        <v>17</v>
      </c>
      <c r="Z12" s="1835">
        <f t="shared" si="4"/>
        <v>14.387500000000017</v>
      </c>
      <c r="AA12" s="1840">
        <f t="shared" si="4"/>
        <v>0</v>
      </c>
      <c r="AB12" s="1840">
        <f t="shared" si="4"/>
        <v>503.5</v>
      </c>
      <c r="AC12" s="521">
        <f t="shared" si="4"/>
        <v>0</v>
      </c>
      <c r="AD12" s="1221">
        <f t="shared" si="4"/>
        <v>0.7177333250244069</v>
      </c>
      <c r="AE12" s="1222">
        <f t="shared" si="4"/>
        <v>174.07109999999989</v>
      </c>
      <c r="AF12" s="1223">
        <f>AE12-AG12</f>
        <v>174.07109999999989</v>
      </c>
      <c r="AG12" s="1223">
        <f t="shared" si="4"/>
        <v>0</v>
      </c>
      <c r="AH12" s="1224">
        <f t="shared" si="4"/>
        <v>0.59199999999999997</v>
      </c>
      <c r="AI12" s="1225">
        <f t="shared" si="4"/>
        <v>203.10588999999999</v>
      </c>
    </row>
    <row r="13" spans="1:39" ht="15.75" customHeight="1">
      <c r="A13" s="523" t="s">
        <v>36</v>
      </c>
      <c r="B13" s="502">
        <f>'[1]св-во Шув-1'!B13</f>
        <v>53</v>
      </c>
      <c r="C13" s="1817">
        <f>'[1]св-во Шув-1'!C13</f>
        <v>9.1029999999999998</v>
      </c>
      <c r="D13" s="502"/>
      <c r="E13" s="1817"/>
      <c r="F13" s="502"/>
      <c r="G13" s="1817"/>
      <c r="H13" s="502"/>
      <c r="I13" s="697"/>
      <c r="J13" s="502">
        <f>'[1]св-во Шув-1'!J13+'[2]св-во Шув-1'!J13</f>
        <v>311</v>
      </c>
      <c r="K13" s="1593">
        <f>'[1]св-во Шув-1'!K13+'[2]св-во Шув-1'!K13</f>
        <v>46.944999999999993</v>
      </c>
      <c r="L13" s="1817"/>
      <c r="M13" s="502">
        <f>'[1]св-во Шув-1'!M13+'[2]св-во Шув-1'!M13</f>
        <v>309</v>
      </c>
      <c r="N13" s="1593">
        <f>'[1]св-во Шув-1'!N13+'[2]св-во Шув-1'!N13</f>
        <v>46.664999999999992</v>
      </c>
      <c r="O13" s="502">
        <f>'[1]св-во Шув-1'!O13+'[2]св-во Шув-1'!O13</f>
        <v>0</v>
      </c>
      <c r="P13" s="1593">
        <f>'[1]св-во Шув-1'!P13+'[2]св-во Шув-1'!P13</f>
        <v>0</v>
      </c>
      <c r="Q13" s="502"/>
      <c r="R13" s="1817"/>
      <c r="S13" s="502">
        <f>'[1]св-во Шув-1'!S13+'[2]св-во Шув-1'!S13</f>
        <v>0</v>
      </c>
      <c r="T13" s="1593">
        <f>'[1]св-во Шув-1'!T13+'[2]св-во Шув-1'!T13</f>
        <v>0</v>
      </c>
      <c r="U13" s="502">
        <f>'[1]св-во Шув-1'!U13+'[2]св-во Шув-1'!U13</f>
        <v>0</v>
      </c>
      <c r="V13" s="1593">
        <f>'[1]св-во Шув-1'!V13+'[2]св-во Шув-1'!V13</f>
        <v>0</v>
      </c>
      <c r="W13" s="502">
        <f>B13+D13+F13+H13+J13-M13-O13-Q13-S13-U13</f>
        <v>55</v>
      </c>
      <c r="X13" s="503">
        <f>C13+E13+G13+I13+K13+L13-N13-P13-R13-T13-V13</f>
        <v>9.3830000000000027</v>
      </c>
      <c r="Y13" s="502">
        <f>(B13+W13)/2</f>
        <v>54</v>
      </c>
      <c r="Z13" s="503">
        <f>(X13+C13)/(W13+B13)*Y13</f>
        <v>9.2430000000000021</v>
      </c>
      <c r="AA13" s="1256"/>
      <c r="AB13" s="1768">
        <f>'[1]св-во Шув-1'!AB13+'[2]св-во Шув-1'!AB13</f>
        <v>18525</v>
      </c>
      <c r="AC13" s="504"/>
      <c r="AD13" s="505">
        <v>2.6</v>
      </c>
      <c r="AE13" s="506">
        <f>AB13*AD13/1000</f>
        <v>48.164999999999999</v>
      </c>
      <c r="AF13" s="507">
        <f t="shared" ref="AF13:AH14" si="5">K45</f>
        <v>48.164999999999999</v>
      </c>
      <c r="AG13" s="507">
        <f t="shared" si="5"/>
        <v>0</v>
      </c>
      <c r="AH13" s="508">
        <f t="shared" si="5"/>
        <v>0</v>
      </c>
      <c r="AI13" s="509">
        <f>I80</f>
        <v>0</v>
      </c>
      <c r="AJ13" s="472"/>
      <c r="AK13" s="472"/>
      <c r="AL13" s="472"/>
      <c r="AM13" s="472"/>
    </row>
    <row r="14" spans="1:39" ht="15.75" customHeight="1" outlineLevel="1">
      <c r="A14" s="510" t="s">
        <v>16</v>
      </c>
      <c r="B14" s="2147">
        <v>31</v>
      </c>
      <c r="C14" s="2148">
        <v>5.0940000000000003</v>
      </c>
      <c r="D14" s="513"/>
      <c r="E14" s="1826"/>
      <c r="F14" s="513"/>
      <c r="G14" s="1826"/>
      <c r="H14" s="513"/>
      <c r="I14" s="1880"/>
      <c r="J14" s="2147">
        <v>231</v>
      </c>
      <c r="K14" s="2149">
        <v>41.906999999999996</v>
      </c>
      <c r="L14" s="1827"/>
      <c r="M14" s="2147">
        <f>J11</f>
        <v>181</v>
      </c>
      <c r="N14" s="2148">
        <f>K11</f>
        <v>32.113999999999997</v>
      </c>
      <c r="O14" s="1879"/>
      <c r="P14" s="1905"/>
      <c r="Q14" s="513"/>
      <c r="R14" s="1826"/>
      <c r="S14" s="2147">
        <v>1</v>
      </c>
      <c r="T14" s="2148">
        <v>0.20499999999999999</v>
      </c>
      <c r="U14" s="2147">
        <v>9</v>
      </c>
      <c r="V14" s="2148">
        <v>1.546</v>
      </c>
      <c r="W14" s="513">
        <f>B14+D14+F14+H14+J14-M14-O14-Q14-S14-U14</f>
        <v>71</v>
      </c>
      <c r="X14" s="514">
        <f>C14+E14+G14+I14+K14+L14-N14-P14-R14-T14-V14</f>
        <v>13.136000000000001</v>
      </c>
      <c r="Y14" s="1344">
        <f>(B14+W14)/2</f>
        <v>51</v>
      </c>
      <c r="Z14" s="731">
        <f>(X14+C14)/(W14+B14)*Y14</f>
        <v>9.1150000000000002</v>
      </c>
      <c r="AA14" s="1769"/>
      <c r="AB14" s="2150">
        <v>22536</v>
      </c>
      <c r="AC14" s="515"/>
      <c r="AD14" s="1220">
        <f>AE14/AB14*1000</f>
        <v>3.508652822151225</v>
      </c>
      <c r="AE14" s="516">
        <f>AF14+AG14+AH14</f>
        <v>79.070999999999998</v>
      </c>
      <c r="AF14" s="517">
        <f t="shared" si="5"/>
        <v>79.003</v>
      </c>
      <c r="AG14" s="517">
        <f t="shared" si="5"/>
        <v>0</v>
      </c>
      <c r="AH14" s="518">
        <f t="shared" si="5"/>
        <v>6.8000000000000005E-2</v>
      </c>
      <c r="AI14" s="519">
        <f>E109</f>
        <v>0</v>
      </c>
      <c r="AJ14" s="472"/>
      <c r="AK14" s="472"/>
      <c r="AL14" s="472"/>
      <c r="AM14" s="472"/>
    </row>
    <row r="15" spans="1:39" s="522" customFormat="1" ht="15.75" customHeight="1" outlineLevel="1" thickBot="1">
      <c r="A15" s="520" t="s">
        <v>17</v>
      </c>
      <c r="B15" s="1882">
        <f t="shared" ref="B15:AI15" si="6">B14-B13</f>
        <v>-22</v>
      </c>
      <c r="C15" s="1883">
        <f t="shared" si="6"/>
        <v>-4.0089999999999995</v>
      </c>
      <c r="D15" s="1882">
        <f t="shared" si="6"/>
        <v>0</v>
      </c>
      <c r="E15" s="1839">
        <f t="shared" si="6"/>
        <v>0</v>
      </c>
      <c r="F15" s="1882">
        <f t="shared" si="6"/>
        <v>0</v>
      </c>
      <c r="G15" s="1835">
        <f t="shared" si="6"/>
        <v>0</v>
      </c>
      <c r="H15" s="1884">
        <f t="shared" si="6"/>
        <v>0</v>
      </c>
      <c r="I15" s="1839">
        <f t="shared" si="6"/>
        <v>0</v>
      </c>
      <c r="J15" s="1882">
        <f t="shared" si="6"/>
        <v>-80</v>
      </c>
      <c r="K15" s="1835">
        <f t="shared" si="6"/>
        <v>-5.0379999999999967</v>
      </c>
      <c r="L15" s="1836">
        <f t="shared" si="6"/>
        <v>0</v>
      </c>
      <c r="M15" s="1884">
        <f t="shared" si="6"/>
        <v>-128</v>
      </c>
      <c r="N15" s="1839">
        <f t="shared" si="6"/>
        <v>-14.550999999999995</v>
      </c>
      <c r="O15" s="1882">
        <f t="shared" si="6"/>
        <v>0</v>
      </c>
      <c r="P15" s="1883">
        <f t="shared" si="6"/>
        <v>0</v>
      </c>
      <c r="Q15" s="1884">
        <f t="shared" si="6"/>
        <v>0</v>
      </c>
      <c r="R15" s="1885">
        <f t="shared" si="6"/>
        <v>0</v>
      </c>
      <c r="S15" s="1882">
        <f t="shared" si="6"/>
        <v>1</v>
      </c>
      <c r="T15" s="1835">
        <f t="shared" si="6"/>
        <v>0.20499999999999999</v>
      </c>
      <c r="U15" s="1884">
        <f t="shared" si="6"/>
        <v>9</v>
      </c>
      <c r="V15" s="1839">
        <f t="shared" si="6"/>
        <v>1.546</v>
      </c>
      <c r="W15" s="1834">
        <f t="shared" si="6"/>
        <v>16</v>
      </c>
      <c r="X15" s="1835">
        <f t="shared" si="6"/>
        <v>3.7529999999999983</v>
      </c>
      <c r="Y15" s="1834">
        <f t="shared" si="6"/>
        <v>-3</v>
      </c>
      <c r="Z15" s="1835">
        <f t="shared" si="6"/>
        <v>-0.12800000000000189</v>
      </c>
      <c r="AA15" s="1840">
        <f t="shared" si="6"/>
        <v>0</v>
      </c>
      <c r="AB15" s="1840">
        <f t="shared" si="6"/>
        <v>4011</v>
      </c>
      <c r="AC15" s="521">
        <f t="shared" si="6"/>
        <v>0</v>
      </c>
      <c r="AD15" s="1221">
        <f t="shared" si="6"/>
        <v>0.90865282215122489</v>
      </c>
      <c r="AE15" s="1222">
        <f t="shared" si="6"/>
        <v>30.905999999999999</v>
      </c>
      <c r="AF15" s="1223">
        <f>AE15-AG15</f>
        <v>30.905999999999999</v>
      </c>
      <c r="AG15" s="1223">
        <f t="shared" si="6"/>
        <v>0</v>
      </c>
      <c r="AH15" s="1224">
        <f t="shared" si="6"/>
        <v>6.8000000000000005E-2</v>
      </c>
      <c r="AI15" s="1225">
        <f t="shared" si="6"/>
        <v>0</v>
      </c>
    </row>
    <row r="16" spans="1:39" ht="15.75" customHeight="1">
      <c r="A16" s="523" t="s">
        <v>629</v>
      </c>
      <c r="B16" s="502">
        <f>'[1]св-во Шув-1'!B16</f>
        <v>156</v>
      </c>
      <c r="C16" s="1817">
        <f>'[1]св-во Шув-1'!C16</f>
        <v>16.780999999999999</v>
      </c>
      <c r="D16" s="502"/>
      <c r="E16" s="1817"/>
      <c r="F16" s="502">
        <f>'[1]св-во Шув-1'!F16+'[2]св-во Шув-1'!F16</f>
        <v>0</v>
      </c>
      <c r="G16" s="1593">
        <f>'[1]св-во Шув-1'!G16+'[2]св-во Шув-1'!G16</f>
        <v>0</v>
      </c>
      <c r="H16" s="502">
        <f>'[1]св-во Шув-1'!H16+'[2]св-во Шув-1'!H16</f>
        <v>533</v>
      </c>
      <c r="I16" s="1593">
        <f>'[1]св-во Шув-1'!I16+'[2]св-во Шув-1'!I16</f>
        <v>49.715000000000003</v>
      </c>
      <c r="J16" s="502">
        <f>'[1]св-во Шув-1'!J16+'[2]св-во Шув-1'!J16</f>
        <v>477</v>
      </c>
      <c r="K16" s="1593">
        <f>'[1]св-во Шув-1'!K16+'[2]св-во Шув-1'!K16</f>
        <v>50.084999999999994</v>
      </c>
      <c r="L16" s="1593">
        <f>'[1]св-во Шув-1'!L16+'[2]св-во Шув-1'!L16</f>
        <v>17.084000000000003</v>
      </c>
      <c r="M16" s="502">
        <f>'[1]св-во Шув-1'!M16+'[2]св-во Шув-1'!M16</f>
        <v>313</v>
      </c>
      <c r="N16" s="1593">
        <f>'[1]св-во Шув-1'!N16+'[2]св-во Шув-1'!N16</f>
        <v>47.344999999999999</v>
      </c>
      <c r="O16" s="502">
        <f>'[1]св-во Шув-1'!O16+'[2]св-во Шув-1'!O16</f>
        <v>144</v>
      </c>
      <c r="P16" s="1593">
        <f>'[1]св-во Шув-1'!P16+'[2]св-во Шув-1'!P16</f>
        <v>21.666</v>
      </c>
      <c r="Q16" s="502">
        <f>'[1]св-во Шув-1'!Q16+'[2]св-во Шув-1'!Q16</f>
        <v>677</v>
      </c>
      <c r="R16" s="1593">
        <f>'[1]св-во Шув-1'!R16+'[2]св-во Шув-1'!R16</f>
        <v>71.3</v>
      </c>
      <c r="S16" s="502">
        <f>'[1]св-во Шув-1'!S16+'[2]св-во Шув-1'!S16</f>
        <v>5.0400000000000009</v>
      </c>
      <c r="T16" s="1593">
        <f>'[1]св-во Шув-1'!T16+'[2]св-во Шув-1'!T16</f>
        <v>0.77400000000000002</v>
      </c>
      <c r="U16" s="502">
        <f>'[1]св-во Шув-1'!U16+'[2]св-во Шув-1'!U16</f>
        <v>0</v>
      </c>
      <c r="V16" s="1593">
        <f>'[1]св-во Шув-1'!V16+'[2]св-во Шув-1'!V16</f>
        <v>0</v>
      </c>
      <c r="W16" s="502">
        <f>B16+D16+F16+H16+J16-M16-O16-Q16-S16-U16</f>
        <v>26.96</v>
      </c>
      <c r="X16" s="503">
        <f>C16+E16+G16+I16+K16+L16-N16-P16-R16-T16-V16</f>
        <v>-7.4199999999999724</v>
      </c>
      <c r="Y16" s="502">
        <f>(B16+W16)/2</f>
        <v>91.48</v>
      </c>
      <c r="Z16" s="503">
        <f>(X16+C16)/(W16+B16)*Y16</f>
        <v>4.6805000000000128</v>
      </c>
      <c r="AA16" s="1256">
        <f>'[1]св-во Шув-1'!AA16+'[2]св-во Шув-1'!AA16</f>
        <v>24405.714285714294</v>
      </c>
      <c r="AB16" s="1768">
        <f>'[1]св-во Шув-1'!AB16+'[2]св-во Шув-1'!AB16</f>
        <v>55108.58</v>
      </c>
      <c r="AC16" s="1766">
        <f>L16*1000000/AA16</f>
        <v>699.99999999999989</v>
      </c>
      <c r="AD16" s="505">
        <v>2.2000000000000002</v>
      </c>
      <c r="AE16" s="506">
        <f>AB16*AD16/1000</f>
        <v>121.23887600000002</v>
      </c>
      <c r="AF16" s="507">
        <f t="shared" ref="AF16:AH17" si="7">K48</f>
        <v>121.23887600000002</v>
      </c>
      <c r="AG16" s="507">
        <f t="shared" si="7"/>
        <v>0</v>
      </c>
      <c r="AH16" s="508">
        <f t="shared" si="7"/>
        <v>0</v>
      </c>
      <c r="AI16" s="509">
        <f>K80</f>
        <v>0</v>
      </c>
      <c r="AJ16" s="472"/>
      <c r="AK16" s="472"/>
      <c r="AL16" s="472"/>
      <c r="AM16" s="472"/>
    </row>
    <row r="17" spans="1:39" ht="15.75" customHeight="1" outlineLevel="1">
      <c r="A17" s="510" t="s">
        <v>16</v>
      </c>
      <c r="B17" s="2147">
        <v>156</v>
      </c>
      <c r="C17" s="2148">
        <v>16.271999999999998</v>
      </c>
      <c r="D17" s="513"/>
      <c r="E17" s="1826"/>
      <c r="F17" s="2147">
        <v>308</v>
      </c>
      <c r="G17" s="2148">
        <v>30.24</v>
      </c>
      <c r="H17" s="2147">
        <v>526</v>
      </c>
      <c r="I17" s="2151">
        <v>51.295999999999999</v>
      </c>
      <c r="J17" s="2147">
        <v>265</v>
      </c>
      <c r="K17" s="2149">
        <v>26.898</v>
      </c>
      <c r="L17" s="2149">
        <v>32.633000000000003</v>
      </c>
      <c r="M17" s="2147">
        <f>916-Q17+2</f>
        <v>233</v>
      </c>
      <c r="N17" s="2148">
        <f>122.077-R17+0.414</f>
        <v>42.320999999999998</v>
      </c>
      <c r="O17" s="2147">
        <v>26</v>
      </c>
      <c r="P17" s="2148">
        <v>3.464</v>
      </c>
      <c r="Q17" s="2147">
        <v>685</v>
      </c>
      <c r="R17" s="2148">
        <v>80.17</v>
      </c>
      <c r="S17" s="2147">
        <v>3</v>
      </c>
      <c r="T17" s="2148">
        <v>0.28999999999999998</v>
      </c>
      <c r="U17" s="1906"/>
      <c r="V17" s="1907"/>
      <c r="W17" s="513">
        <f>B17+D17+F17+H17+J17-M17-O17-Q17-S17-U17</f>
        <v>308</v>
      </c>
      <c r="X17" s="514">
        <f>C17+E17+G17+I17+K17+L17-N17-P17-R17-T17-V17</f>
        <v>31.094000000000001</v>
      </c>
      <c r="Y17" s="1344">
        <f>(B17+W17)/2</f>
        <v>232</v>
      </c>
      <c r="Z17" s="731">
        <f>(X17+C17)/(W17+B17)*Y17</f>
        <v>23.683</v>
      </c>
      <c r="AA17" s="2161">
        <v>56547</v>
      </c>
      <c r="AB17" s="2150">
        <v>59946</v>
      </c>
      <c r="AC17" s="1767">
        <f>L17*1000000/AA17</f>
        <v>577.09515977859132</v>
      </c>
      <c r="AD17" s="1911">
        <f>AE17/AB17*1000</f>
        <v>3.2397657892102893</v>
      </c>
      <c r="AE17" s="516">
        <f>AF17+AG17+AH17</f>
        <v>194.21100000000001</v>
      </c>
      <c r="AF17" s="517">
        <f t="shared" si="7"/>
        <v>194.21100000000001</v>
      </c>
      <c r="AG17" s="517">
        <f t="shared" si="7"/>
        <v>0</v>
      </c>
      <c r="AH17" s="518">
        <f t="shared" si="7"/>
        <v>0</v>
      </c>
      <c r="AI17" s="519">
        <f>E112</f>
        <v>0</v>
      </c>
      <c r="AJ17" s="472"/>
      <c r="AK17" s="472"/>
      <c r="AL17" s="472"/>
      <c r="AM17" s="472"/>
    </row>
    <row r="18" spans="1:39" s="522" customFormat="1" ht="15.75" customHeight="1" outlineLevel="1" thickBot="1">
      <c r="A18" s="520" t="s">
        <v>17</v>
      </c>
      <c r="B18" s="1882">
        <f t="shared" ref="B18:AI18" si="8">B17-B16</f>
        <v>0</v>
      </c>
      <c r="C18" s="1883">
        <f t="shared" si="8"/>
        <v>-0.50900000000000034</v>
      </c>
      <c r="D18" s="1882">
        <f t="shared" si="8"/>
        <v>0</v>
      </c>
      <c r="E18" s="1839">
        <f t="shared" si="8"/>
        <v>0</v>
      </c>
      <c r="F18" s="1882">
        <f t="shared" si="8"/>
        <v>308</v>
      </c>
      <c r="G18" s="1835">
        <f t="shared" si="8"/>
        <v>30.24</v>
      </c>
      <c r="H18" s="1884">
        <f t="shared" si="8"/>
        <v>-7</v>
      </c>
      <c r="I18" s="1839">
        <f t="shared" si="8"/>
        <v>1.580999999999996</v>
      </c>
      <c r="J18" s="1882">
        <f t="shared" si="8"/>
        <v>-212</v>
      </c>
      <c r="K18" s="1835">
        <f t="shared" si="8"/>
        <v>-23.186999999999994</v>
      </c>
      <c r="L18" s="1836">
        <f t="shared" si="8"/>
        <v>15.548999999999999</v>
      </c>
      <c r="M18" s="1884">
        <f t="shared" si="8"/>
        <v>-80</v>
      </c>
      <c r="N18" s="1839">
        <f t="shared" si="8"/>
        <v>-5.0240000000000009</v>
      </c>
      <c r="O18" s="1882">
        <f t="shared" si="8"/>
        <v>-118</v>
      </c>
      <c r="P18" s="1883">
        <f t="shared" si="8"/>
        <v>-18.202000000000002</v>
      </c>
      <c r="Q18" s="1884">
        <f t="shared" si="8"/>
        <v>8</v>
      </c>
      <c r="R18" s="1885">
        <f t="shared" si="8"/>
        <v>8.8700000000000045</v>
      </c>
      <c r="S18" s="1882">
        <f t="shared" si="8"/>
        <v>-2.0400000000000009</v>
      </c>
      <c r="T18" s="1835">
        <f t="shared" si="8"/>
        <v>-0.48400000000000004</v>
      </c>
      <c r="U18" s="1884">
        <f t="shared" si="8"/>
        <v>0</v>
      </c>
      <c r="V18" s="1839">
        <f t="shared" si="8"/>
        <v>0</v>
      </c>
      <c r="W18" s="1834">
        <f t="shared" si="8"/>
        <v>281.04000000000002</v>
      </c>
      <c r="X18" s="1835">
        <f t="shared" si="8"/>
        <v>38.513999999999974</v>
      </c>
      <c r="Y18" s="1834">
        <f t="shared" si="8"/>
        <v>140.51999999999998</v>
      </c>
      <c r="Z18" s="1835">
        <f t="shared" si="8"/>
        <v>19.002499999999987</v>
      </c>
      <c r="AA18" s="1840">
        <f t="shared" si="8"/>
        <v>32141.285714285706</v>
      </c>
      <c r="AB18" s="1840">
        <f t="shared" si="8"/>
        <v>4837.4199999999983</v>
      </c>
      <c r="AC18" s="521">
        <f t="shared" si="8"/>
        <v>-122.90484022140856</v>
      </c>
      <c r="AD18" s="1221">
        <f t="shared" si="8"/>
        <v>1.0397657892102892</v>
      </c>
      <c r="AE18" s="1222">
        <f t="shared" si="8"/>
        <v>72.972123999999994</v>
      </c>
      <c r="AF18" s="1223">
        <f>AE18-AG18</f>
        <v>72.972123999999994</v>
      </c>
      <c r="AG18" s="1223">
        <f t="shared" si="8"/>
        <v>0</v>
      </c>
      <c r="AH18" s="1224">
        <f t="shared" si="8"/>
        <v>0</v>
      </c>
      <c r="AI18" s="1225">
        <f t="shared" si="8"/>
        <v>0</v>
      </c>
    </row>
    <row r="19" spans="1:39" s="526" customFormat="1" ht="15.75" customHeight="1">
      <c r="A19" s="525" t="s">
        <v>320</v>
      </c>
      <c r="B19" s="502">
        <f>'[1]св-во Шув-1'!B19</f>
        <v>1329</v>
      </c>
      <c r="C19" s="1817">
        <f>'[1]св-во Шув-1'!C19</f>
        <v>1.8605999999999998</v>
      </c>
      <c r="D19" s="502">
        <f>'[1]св-во Шув-1'!D19+'[2]св-во Шув-1'!D19</f>
        <v>19080</v>
      </c>
      <c r="E19" s="1593">
        <f>'[1]св-во Шув-1'!E19+'[2]св-во Шув-1'!E19</f>
        <v>26.711999999999996</v>
      </c>
      <c r="F19" s="502"/>
      <c r="G19" s="1817"/>
      <c r="H19" s="502"/>
      <c r="I19" s="697"/>
      <c r="J19" s="502">
        <f>'[1]св-во Шув-1'!J19</f>
        <v>0</v>
      </c>
      <c r="K19" s="1593">
        <f>'[1]св-во Шув-1'!K19</f>
        <v>0</v>
      </c>
      <c r="L19" s="1593">
        <f>'[1]св-во Шув-1'!L19+'[2]св-во Шув-1'!L19</f>
        <v>113.60939995520002</v>
      </c>
      <c r="M19" s="502">
        <f>'[1]св-во Шув-1'!M19+'[2]св-во Шув-1'!M19</f>
        <v>17143</v>
      </c>
      <c r="N19" s="1593">
        <f>'[1]св-во Шув-1'!N19+'[2]св-во Шув-1'!N19</f>
        <v>137.14400000000003</v>
      </c>
      <c r="O19" s="502">
        <f>'[1]св-во Шув-1'!O19+'[2]св-во Шув-1'!O19</f>
        <v>0</v>
      </c>
      <c r="P19" s="1593">
        <f>'[1]св-во Шув-1'!P19+'[2]св-во Шув-1'!P19</f>
        <v>0</v>
      </c>
      <c r="Q19" s="502"/>
      <c r="R19" s="1817"/>
      <c r="S19" s="502">
        <f>'[1]св-во Шув-1'!S19+'[2]св-во Шув-1'!S19</f>
        <v>1908</v>
      </c>
      <c r="T19" s="1593">
        <f>'[1]св-во Шув-1'!T19+'[2]св-во Шув-1'!T19</f>
        <v>3.1367999551999999</v>
      </c>
      <c r="U19" s="502">
        <f>'[1]св-во Шув-1'!U19+'[2]св-во Шув-1'!U19</f>
        <v>0</v>
      </c>
      <c r="V19" s="1593">
        <f>'[1]св-во Шув-1'!V19+'[2]св-во Шув-1'!V19</f>
        <v>0</v>
      </c>
      <c r="W19" s="502">
        <f>B19+D19+F19+H19+J19-M19-O19-Q19-S19-U19</f>
        <v>1358</v>
      </c>
      <c r="X19" s="503">
        <f>C19+E19+G19+I19+K19+L19-N19-P19-R19-T19-V19</f>
        <v>1.9011999999999789</v>
      </c>
      <c r="Y19" s="502">
        <f>(B19+W19)/2</f>
        <v>1343.5</v>
      </c>
      <c r="Z19" s="503">
        <f>(X19+C19)/(W19+B19)*Y19</f>
        <v>1.8808999999999896</v>
      </c>
      <c r="AA19" s="1256">
        <f>'[1]св-во Шув-1'!AA19+'[2]св-во Шув-1'!AA19</f>
        <v>481395.76252203394</v>
      </c>
      <c r="AB19" s="1768">
        <f>'[1]св-во Шув-1'!AB19+'[2]св-во Шув-1'!AB19</f>
        <v>550201</v>
      </c>
      <c r="AC19" s="1766">
        <f>L19*1000000/AA19</f>
        <v>236</v>
      </c>
      <c r="AD19" s="1345">
        <v>3.3000000000000002E-2</v>
      </c>
      <c r="AE19" s="506">
        <f>AB19*AD19/1000</f>
        <v>18.156633000000003</v>
      </c>
      <c r="AF19" s="507">
        <f t="shared" ref="AF19:AH20" si="9">K51</f>
        <v>18.156633000000003</v>
      </c>
      <c r="AG19" s="507">
        <f t="shared" si="9"/>
        <v>0</v>
      </c>
      <c r="AH19" s="508">
        <f t="shared" si="9"/>
        <v>0</v>
      </c>
      <c r="AI19" s="509">
        <f>M80</f>
        <v>0</v>
      </c>
    </row>
    <row r="20" spans="1:39" ht="15.75" customHeight="1" outlineLevel="1">
      <c r="A20" s="510" t="s">
        <v>16</v>
      </c>
      <c r="B20" s="2147">
        <v>1475</v>
      </c>
      <c r="C20" s="2148">
        <v>2.21</v>
      </c>
      <c r="D20" s="2147">
        <v>21717</v>
      </c>
      <c r="E20" s="2148">
        <v>33.228000000000002</v>
      </c>
      <c r="F20" s="513"/>
      <c r="G20" s="1826"/>
      <c r="H20" s="513"/>
      <c r="I20" s="1880"/>
      <c r="J20" s="513"/>
      <c r="K20" s="1827"/>
      <c r="L20" s="2149">
        <v>162.02699999999999</v>
      </c>
      <c r="M20" s="2147">
        <v>19605</v>
      </c>
      <c r="N20" s="2148">
        <v>190.18899999999999</v>
      </c>
      <c r="O20" s="2147">
        <v>309</v>
      </c>
      <c r="P20" s="2148">
        <v>1.9379999999999999</v>
      </c>
      <c r="Q20" s="513"/>
      <c r="R20" s="1826"/>
      <c r="S20" s="2147">
        <v>1472</v>
      </c>
      <c r="T20" s="2148">
        <v>2.601</v>
      </c>
      <c r="U20" s="513"/>
      <c r="V20" s="1880"/>
      <c r="W20" s="513">
        <f>B20+D20+F20+H20+J20-M20-O20-Q20-S20-U20</f>
        <v>1806</v>
      </c>
      <c r="X20" s="514">
        <f>C20+E20+G20+I20+K20+L20-N20-P20-R20-T20-V20</f>
        <v>2.7369999999999823</v>
      </c>
      <c r="Y20" s="1344">
        <f>(B20+W20)/2</f>
        <v>1640.5</v>
      </c>
      <c r="Z20" s="731">
        <f>(X20+C20)/(W20+B20)*Y20</f>
        <v>2.4734999999999912</v>
      </c>
      <c r="AA20" s="2161">
        <v>593743</v>
      </c>
      <c r="AB20" s="2150">
        <v>597938</v>
      </c>
      <c r="AC20" s="1767">
        <f>L20*1000000/AA20</f>
        <v>272.89079618622873</v>
      </c>
      <c r="AD20" s="1912">
        <f>AE20/AB20*1000</f>
        <v>2.6827196130702509E-2</v>
      </c>
      <c r="AE20" s="516">
        <f>AF20+AG20+AH20</f>
        <v>16.040999999999997</v>
      </c>
      <c r="AF20" s="517">
        <f t="shared" si="9"/>
        <v>16.015999999999998</v>
      </c>
      <c r="AG20" s="517">
        <f t="shared" si="9"/>
        <v>2.5000000000000001E-2</v>
      </c>
      <c r="AH20" s="518">
        <f t="shared" si="9"/>
        <v>0</v>
      </c>
      <c r="AI20" s="519">
        <f>E115</f>
        <v>0</v>
      </c>
      <c r="AJ20" s="472"/>
      <c r="AK20" s="472"/>
      <c r="AL20" s="472"/>
      <c r="AM20" s="472"/>
    </row>
    <row r="21" spans="1:39" s="522" customFormat="1" ht="15.75" customHeight="1" outlineLevel="1" thickBot="1">
      <c r="A21" s="520" t="s">
        <v>17</v>
      </c>
      <c r="B21" s="1882">
        <f t="shared" ref="B21:AI21" si="10">B20-B19</f>
        <v>146</v>
      </c>
      <c r="C21" s="1883">
        <f t="shared" si="10"/>
        <v>0.34940000000000015</v>
      </c>
      <c r="D21" s="1882">
        <f t="shared" si="10"/>
        <v>2637</v>
      </c>
      <c r="E21" s="1839">
        <f t="shared" si="10"/>
        <v>6.5160000000000053</v>
      </c>
      <c r="F21" s="1882">
        <f t="shared" si="10"/>
        <v>0</v>
      </c>
      <c r="G21" s="1835">
        <f t="shared" si="10"/>
        <v>0</v>
      </c>
      <c r="H21" s="1884">
        <f t="shared" si="10"/>
        <v>0</v>
      </c>
      <c r="I21" s="1839">
        <f t="shared" si="10"/>
        <v>0</v>
      </c>
      <c r="J21" s="1882">
        <f t="shared" si="10"/>
        <v>0</v>
      </c>
      <c r="K21" s="1835">
        <f t="shared" si="10"/>
        <v>0</v>
      </c>
      <c r="L21" s="1836">
        <f t="shared" si="10"/>
        <v>48.417600044799968</v>
      </c>
      <c r="M21" s="1884">
        <f t="shared" si="10"/>
        <v>2462</v>
      </c>
      <c r="N21" s="1839">
        <f t="shared" si="10"/>
        <v>53.044999999999959</v>
      </c>
      <c r="O21" s="1882">
        <f t="shared" si="10"/>
        <v>309</v>
      </c>
      <c r="P21" s="1883">
        <f t="shared" si="10"/>
        <v>1.9379999999999999</v>
      </c>
      <c r="Q21" s="1884">
        <f t="shared" si="10"/>
        <v>0</v>
      </c>
      <c r="R21" s="1885">
        <f t="shared" si="10"/>
        <v>0</v>
      </c>
      <c r="S21" s="1882">
        <f t="shared" si="10"/>
        <v>-436</v>
      </c>
      <c r="T21" s="1835">
        <f t="shared" si="10"/>
        <v>-0.5357999551999999</v>
      </c>
      <c r="U21" s="1884">
        <f t="shared" si="10"/>
        <v>0</v>
      </c>
      <c r="V21" s="1839">
        <f t="shared" si="10"/>
        <v>0</v>
      </c>
      <c r="W21" s="1834">
        <f t="shared" si="10"/>
        <v>448</v>
      </c>
      <c r="X21" s="1835">
        <f t="shared" si="10"/>
        <v>0.83580000000000343</v>
      </c>
      <c r="Y21" s="1834">
        <f t="shared" si="10"/>
        <v>297</v>
      </c>
      <c r="Z21" s="1835">
        <f t="shared" si="10"/>
        <v>0.59260000000000157</v>
      </c>
      <c r="AA21" s="1840">
        <f t="shared" si="10"/>
        <v>112347.23747796606</v>
      </c>
      <c r="AB21" s="1840">
        <f t="shared" si="10"/>
        <v>47737</v>
      </c>
      <c r="AC21" s="521">
        <f t="shared" si="10"/>
        <v>36.890796186228727</v>
      </c>
      <c r="AD21" s="1221">
        <f t="shared" si="10"/>
        <v>-6.1728038692974926E-3</v>
      </c>
      <c r="AE21" s="1222">
        <f t="shared" si="10"/>
        <v>-2.1156330000000061</v>
      </c>
      <c r="AF21" s="1223">
        <f>AE21-AG21</f>
        <v>-2.140633000000006</v>
      </c>
      <c r="AG21" s="1223">
        <f t="shared" si="10"/>
        <v>2.5000000000000001E-2</v>
      </c>
      <c r="AH21" s="1224">
        <f t="shared" si="10"/>
        <v>0</v>
      </c>
      <c r="AI21" s="1225">
        <f t="shared" si="10"/>
        <v>0</v>
      </c>
    </row>
    <row r="22" spans="1:39" s="526" customFormat="1" ht="15.75" customHeight="1">
      <c r="A22" s="525" t="s">
        <v>321</v>
      </c>
      <c r="B22" s="502">
        <f>'[1]св-во Шув-1'!B22</f>
        <v>2372</v>
      </c>
      <c r="C22" s="1817">
        <f>'[1]св-во Шув-1'!C22</f>
        <v>17.315999999999999</v>
      </c>
      <c r="D22" s="502"/>
      <c r="E22" s="1817"/>
      <c r="F22" s="502"/>
      <c r="G22" s="1817"/>
      <c r="H22" s="502">
        <f>'[1]св-во Шув-1'!H22+'[2]св-во Шув-1'!H22</f>
        <v>2250</v>
      </c>
      <c r="I22" s="1593">
        <f>'[1]св-во Шув-1'!I22+'[2]св-во Шув-1'!I22</f>
        <v>33.75</v>
      </c>
      <c r="J22" s="502">
        <f>'[1]св-во Шув-1'!J22+'[2]св-во Шув-1'!J22</f>
        <v>17143</v>
      </c>
      <c r="K22" s="1593">
        <f>'[1]св-во Шув-1'!K22+'[2]св-во Шув-1'!K22</f>
        <v>137.14400000000003</v>
      </c>
      <c r="L22" s="1593">
        <f>'[1]св-во Шув-1'!L22+'[2]св-во Шув-1'!L22</f>
        <v>500.99694999999997</v>
      </c>
      <c r="M22" s="502">
        <f>'[1]св-во Шув-1'!M22+'[2]св-во Шув-1'!M22</f>
        <v>19608</v>
      </c>
      <c r="N22" s="1593">
        <f>'[1]св-во Шув-1'!N22+'[2]св-во Шув-1'!N22</f>
        <v>686.28</v>
      </c>
      <c r="O22" s="502"/>
      <c r="P22" s="1817"/>
      <c r="Q22" s="502"/>
      <c r="R22" s="1817"/>
      <c r="S22" s="502">
        <f>'[1]св-во Шув-1'!S22+'[2]св-во Шув-1'!S22</f>
        <v>500.65000000000003</v>
      </c>
      <c r="T22" s="1593">
        <f>'[1]св-во Шув-1'!T22+'[2]св-во Шув-1'!T22</f>
        <v>7.0385</v>
      </c>
      <c r="U22" s="502">
        <f>'[1]св-во Шув-1'!U22</f>
        <v>372.15000000000003</v>
      </c>
      <c r="V22" s="697">
        <f>'[1]св-во Шув-1'!V22</f>
        <v>6.4780500000000014</v>
      </c>
      <c r="W22" s="502">
        <f>B22+D22+F22+H22+J22-M22-O22-Q22-S22-U22</f>
        <v>1284.1999999999998</v>
      </c>
      <c r="X22" s="503">
        <f>C22+E22+G22+I22+K22+L22-N22-P22-R22-T22-V22</f>
        <v>-10.589599999999969</v>
      </c>
      <c r="Y22" s="502">
        <f>(B22+W22)/2</f>
        <v>1828.1</v>
      </c>
      <c r="Z22" s="503">
        <f>(X22+C22)/(W22+B22)*Y22</f>
        <v>3.3632000000000151</v>
      </c>
      <c r="AA22" s="1256">
        <f>'[1]св-во Шув-1'!AA22+'[2]св-во Шув-1'!AA22</f>
        <v>1113326.5555555555</v>
      </c>
      <c r="AB22" s="1768">
        <f>'[1]св-во Шув-1'!AB22+'[2]св-во Шув-1'!AB22</f>
        <v>1019617.5</v>
      </c>
      <c r="AC22" s="1766">
        <f>L22*1000000/AA22</f>
        <v>449.99999999999994</v>
      </c>
      <c r="AD22" s="1345">
        <v>0.94</v>
      </c>
      <c r="AE22" s="506">
        <f>AB22*AD22/1000</f>
        <v>958.44044999999994</v>
      </c>
      <c r="AF22" s="507">
        <f>K54</f>
        <v>958.44044999999983</v>
      </c>
      <c r="AG22" s="507">
        <f>L54</f>
        <v>0</v>
      </c>
      <c r="AH22" s="508">
        <f>M45</f>
        <v>0</v>
      </c>
      <c r="AI22" s="509">
        <f>O80</f>
        <v>0</v>
      </c>
    </row>
    <row r="23" spans="1:39" ht="15.75" customHeight="1" outlineLevel="1">
      <c r="A23" s="510" t="s">
        <v>16</v>
      </c>
      <c r="B23" s="2147">
        <v>2570</v>
      </c>
      <c r="C23" s="2148">
        <v>23.600999999999999</v>
      </c>
      <c r="D23" s="513"/>
      <c r="E23" s="1826"/>
      <c r="F23" s="513"/>
      <c r="G23" s="1826"/>
      <c r="H23" s="2147">
        <v>1896</v>
      </c>
      <c r="I23" s="2151">
        <v>38.945999999999998</v>
      </c>
      <c r="J23" s="2147">
        <f>M20</f>
        <v>19605</v>
      </c>
      <c r="K23" s="2149">
        <f>N20</f>
        <v>190.18899999999999</v>
      </c>
      <c r="L23" s="2149">
        <v>571.83799999999997</v>
      </c>
      <c r="M23" s="2147">
        <v>19588</v>
      </c>
      <c r="N23" s="2148">
        <v>762.83699999999999</v>
      </c>
      <c r="O23" s="513"/>
      <c r="P23" s="1826"/>
      <c r="Q23" s="513"/>
      <c r="R23" s="1826"/>
      <c r="S23" s="2147">
        <v>250</v>
      </c>
      <c r="T23" s="2148">
        <v>3.6429999999999998</v>
      </c>
      <c r="U23" s="2147">
        <v>814</v>
      </c>
      <c r="V23" s="2151">
        <v>18.042000000000002</v>
      </c>
      <c r="W23" s="513">
        <f>B23+D23+F23+H23+J23-M23-O23-Q23-S23-U23</f>
        <v>3419</v>
      </c>
      <c r="X23" s="514">
        <f>C23+E23+G23+I23+K23+L23-N23-P23-R23-T23-V23</f>
        <v>40.051999999999964</v>
      </c>
      <c r="Y23" s="1344">
        <f>(B23+W23)/2</f>
        <v>2994.5</v>
      </c>
      <c r="Z23" s="731">
        <f>(X23+C23)/(W23+B23)*Y23</f>
        <v>31.826499999999978</v>
      </c>
      <c r="AA23" s="2161">
        <v>1136299</v>
      </c>
      <c r="AB23" s="2150">
        <v>1158626</v>
      </c>
      <c r="AC23" s="1767">
        <f>L23*1000000/AA23</f>
        <v>503.24606463615652</v>
      </c>
      <c r="AD23" s="1220">
        <f>AE23/AB23*1000</f>
        <v>0.8325766899758853</v>
      </c>
      <c r="AE23" s="516">
        <f>AF23+AG23+AH23</f>
        <v>964.64499999999998</v>
      </c>
      <c r="AF23" s="517">
        <f t="shared" ref="AF23" si="11">K55</f>
        <v>964.64499999999998</v>
      </c>
      <c r="AG23" s="517">
        <f t="shared" ref="AG23" si="12">L55</f>
        <v>0</v>
      </c>
      <c r="AH23" s="518">
        <f t="shared" ref="AH23" si="13">M55</f>
        <v>0</v>
      </c>
      <c r="AI23" s="519">
        <f>E118</f>
        <v>0</v>
      </c>
      <c r="AJ23" s="472"/>
      <c r="AK23" s="472"/>
      <c r="AL23" s="472"/>
      <c r="AM23" s="472"/>
    </row>
    <row r="24" spans="1:39" s="522" customFormat="1" ht="15.75" customHeight="1" outlineLevel="1" thickBot="1">
      <c r="A24" s="520" t="s">
        <v>17</v>
      </c>
      <c r="B24" s="1882">
        <f t="shared" ref="B24:AI24" si="14">B23-B22</f>
        <v>198</v>
      </c>
      <c r="C24" s="1883">
        <f t="shared" si="14"/>
        <v>6.2850000000000001</v>
      </c>
      <c r="D24" s="1882">
        <f t="shared" si="14"/>
        <v>0</v>
      </c>
      <c r="E24" s="1839">
        <f t="shared" si="14"/>
        <v>0</v>
      </c>
      <c r="F24" s="1882">
        <f t="shared" si="14"/>
        <v>0</v>
      </c>
      <c r="G24" s="1835">
        <f t="shared" si="14"/>
        <v>0</v>
      </c>
      <c r="H24" s="1884">
        <f t="shared" si="14"/>
        <v>-354</v>
      </c>
      <c r="I24" s="1839">
        <f t="shared" si="14"/>
        <v>5.195999999999998</v>
      </c>
      <c r="J24" s="1882">
        <f t="shared" si="14"/>
        <v>2462</v>
      </c>
      <c r="K24" s="1835">
        <f t="shared" si="14"/>
        <v>53.044999999999959</v>
      </c>
      <c r="L24" s="1836">
        <f t="shared" si="14"/>
        <v>70.841049999999996</v>
      </c>
      <c r="M24" s="1884">
        <f t="shared" si="14"/>
        <v>-20</v>
      </c>
      <c r="N24" s="1839">
        <f t="shared" si="14"/>
        <v>76.557000000000016</v>
      </c>
      <c r="O24" s="1882">
        <f t="shared" si="14"/>
        <v>0</v>
      </c>
      <c r="P24" s="1883">
        <f t="shared" si="14"/>
        <v>0</v>
      </c>
      <c r="Q24" s="1884">
        <f t="shared" si="14"/>
        <v>0</v>
      </c>
      <c r="R24" s="1885">
        <f t="shared" si="14"/>
        <v>0</v>
      </c>
      <c r="S24" s="1882">
        <f t="shared" si="14"/>
        <v>-250.65000000000003</v>
      </c>
      <c r="T24" s="1835">
        <f t="shared" si="14"/>
        <v>-3.3955000000000002</v>
      </c>
      <c r="U24" s="1884">
        <f t="shared" si="14"/>
        <v>441.84999999999997</v>
      </c>
      <c r="V24" s="1839">
        <f t="shared" si="14"/>
        <v>11.56395</v>
      </c>
      <c r="W24" s="1834">
        <f t="shared" si="14"/>
        <v>2134.8000000000002</v>
      </c>
      <c r="X24" s="1835">
        <f t="shared" si="14"/>
        <v>50.641599999999933</v>
      </c>
      <c r="Y24" s="1834">
        <f t="shared" si="14"/>
        <v>1166.4000000000001</v>
      </c>
      <c r="Z24" s="1835">
        <f t="shared" si="14"/>
        <v>28.463299999999961</v>
      </c>
      <c r="AA24" s="1840">
        <f t="shared" si="14"/>
        <v>22972.444444444496</v>
      </c>
      <c r="AB24" s="1840">
        <f t="shared" si="14"/>
        <v>139008.5</v>
      </c>
      <c r="AC24" s="521">
        <f t="shared" si="14"/>
        <v>53.246064636156575</v>
      </c>
      <c r="AD24" s="1221">
        <f t="shared" si="14"/>
        <v>-0.10742331002411465</v>
      </c>
      <c r="AE24" s="1222">
        <f t="shared" si="14"/>
        <v>6.2045500000000402</v>
      </c>
      <c r="AF24" s="1223">
        <f>AE24-AG24</f>
        <v>6.2045500000000402</v>
      </c>
      <c r="AG24" s="1223">
        <f t="shared" si="14"/>
        <v>0</v>
      </c>
      <c r="AH24" s="1224">
        <f t="shared" si="14"/>
        <v>0</v>
      </c>
      <c r="AI24" s="1225">
        <f t="shared" si="14"/>
        <v>0</v>
      </c>
    </row>
    <row r="25" spans="1:39" ht="15.75" customHeight="1">
      <c r="A25" s="499" t="s">
        <v>310</v>
      </c>
      <c r="B25" s="502">
        <f>'[1]св-во Шув-1'!B25</f>
        <v>4376</v>
      </c>
      <c r="C25" s="1817">
        <f>'[1]св-во Шув-1'!C25</f>
        <v>153.16499999999999</v>
      </c>
      <c r="D25" s="502"/>
      <c r="E25" s="1817"/>
      <c r="F25" s="502"/>
      <c r="G25" s="1817"/>
      <c r="H25" s="502"/>
      <c r="I25" s="697"/>
      <c r="J25" s="502">
        <f>'[1]св-во Шув-1'!J25+'[2]св-во Шув-1'!J25</f>
        <v>19608</v>
      </c>
      <c r="K25" s="1593">
        <f>'[1]св-во Шув-1'!K25+'[2]св-во Шув-1'!K25</f>
        <v>686.28</v>
      </c>
      <c r="L25" s="1593">
        <f>'[1]св-во Шув-1'!L25+'[2]св-во Шув-1'!L25</f>
        <v>1287.4000000000001</v>
      </c>
      <c r="M25" s="502">
        <f>'[1]св-во Шув-1'!M25+'[2]св-во Шув-1'!M25</f>
        <v>477</v>
      </c>
      <c r="N25" s="1593">
        <f>'[1]св-во Шув-1'!N25+'[2]св-во Шув-1'!N25</f>
        <v>50.089999999999989</v>
      </c>
      <c r="O25" s="502">
        <f>'[1]св-во Шув-1'!O25+'[2]св-во Шув-1'!O25</f>
        <v>13008</v>
      </c>
      <c r="P25" s="1593">
        <f>'[1]св-во Шув-1'!P25+'[2]св-во Шув-1'!P25</f>
        <v>1365.84</v>
      </c>
      <c r="Q25" s="502">
        <f>'[1]св-во Шув-1'!Q25+'[2]св-во Шув-1'!Q25</f>
        <v>4860</v>
      </c>
      <c r="R25" s="1593">
        <f>'[1]св-во Шув-1'!R25+'[2]св-во Шув-1'!R25</f>
        <v>510.29999999999995</v>
      </c>
      <c r="S25" s="502">
        <f>'[1]св-во Шув-1'!S25+'[2]св-во Шув-1'!S25</f>
        <v>196.08</v>
      </c>
      <c r="T25" s="1593">
        <f>'[1]св-во Шув-1'!T25+'[2]св-во Шув-1'!T25</f>
        <v>8.4838000000000005</v>
      </c>
      <c r="U25" s="502">
        <f>'[1]св-во Шув-1'!U25</f>
        <v>145.68</v>
      </c>
      <c r="V25" s="697">
        <f>'[1]св-во Шув-1'!V25</f>
        <v>5.6448</v>
      </c>
      <c r="W25" s="502">
        <f>B25+D25+F25+H25+J25-M25-O25-Q25-S25-U25</f>
        <v>5297.24</v>
      </c>
      <c r="X25" s="503">
        <f>C25+E25+G25+I25+K25+L25-N25-P25-R25-T25-V25</f>
        <v>186.48640000000023</v>
      </c>
      <c r="Y25" s="502">
        <f>(B25+W25)/2</f>
        <v>4836.62</v>
      </c>
      <c r="Z25" s="503">
        <f>(X25+C25)/(W25+B25)*Y25</f>
        <v>169.8257000000001</v>
      </c>
      <c r="AA25" s="1256">
        <f>'[1]св-во Шув-1'!AA25+'[2]св-во Шув-1'!AA25</f>
        <v>1545498.199279712</v>
      </c>
      <c r="AB25" s="1768">
        <f>'[1]св-во Шув-1'!AB25+'[2]св-во Шув-1'!AB25</f>
        <v>1518131</v>
      </c>
      <c r="AC25" s="1766">
        <f>L25*1000000/AA25</f>
        <v>832.99999999999989</v>
      </c>
      <c r="AD25" s="1345">
        <v>2.5110000000000001</v>
      </c>
      <c r="AE25" s="506">
        <f>AB25*AD25/1000</f>
        <v>3812.0269410000001</v>
      </c>
      <c r="AF25" s="507">
        <f t="shared" ref="AF25:AH26" si="15">K57</f>
        <v>3812.0269410000001</v>
      </c>
      <c r="AG25" s="507">
        <f t="shared" si="15"/>
        <v>0</v>
      </c>
      <c r="AH25" s="508">
        <f t="shared" si="15"/>
        <v>0</v>
      </c>
      <c r="AI25" s="509">
        <f>Q80</f>
        <v>0</v>
      </c>
      <c r="AJ25" s="472"/>
      <c r="AK25" s="472"/>
      <c r="AL25" s="472"/>
      <c r="AM25" s="472"/>
    </row>
    <row r="26" spans="1:39" ht="15.75" customHeight="1" outlineLevel="1">
      <c r="A26" s="510" t="s">
        <v>16</v>
      </c>
      <c r="B26" s="2147">
        <v>4050</v>
      </c>
      <c r="C26" s="2148">
        <v>166.53800000000001</v>
      </c>
      <c r="D26" s="513"/>
      <c r="E26" s="1826"/>
      <c r="F26" s="513"/>
      <c r="G26" s="1826"/>
      <c r="H26" s="513"/>
      <c r="I26" s="1880"/>
      <c r="J26" s="2147">
        <f>M23</f>
        <v>19588</v>
      </c>
      <c r="K26" s="2149">
        <f>N23</f>
        <v>762.83699999999999</v>
      </c>
      <c r="L26" s="2149">
        <v>1223.615</v>
      </c>
      <c r="M26" s="2147">
        <v>193</v>
      </c>
      <c r="N26" s="2148">
        <v>19.449000000000002</v>
      </c>
      <c r="O26" s="2147">
        <f>14540-U26</f>
        <v>14199</v>
      </c>
      <c r="P26" s="2148">
        <f>1483.311-V26</f>
        <v>1466.1779999999999</v>
      </c>
      <c r="Q26" s="2147">
        <v>4514</v>
      </c>
      <c r="R26" s="2148">
        <v>473.62</v>
      </c>
      <c r="S26" s="2147">
        <v>178</v>
      </c>
      <c r="T26" s="2148">
        <v>9.2539999999999996</v>
      </c>
      <c r="U26" s="2147">
        <v>341</v>
      </c>
      <c r="V26" s="2151">
        <v>17.132999999999999</v>
      </c>
      <c r="W26" s="513">
        <f>B26+D26+F26+H26+J26-M26-O26-Q26-S26-U26</f>
        <v>4213</v>
      </c>
      <c r="X26" s="514">
        <f>C26+E26+G26+I26+K26+L26-N26-P26-R26-T26-V26</f>
        <v>167.35599999999982</v>
      </c>
      <c r="Y26" s="1344">
        <f>(B26+W26)/2</f>
        <v>4131.5</v>
      </c>
      <c r="Z26" s="731">
        <f>(X26+C26)/(W26+B26)*Y26</f>
        <v>166.94699999999992</v>
      </c>
      <c r="AA26" s="2161">
        <v>1473131</v>
      </c>
      <c r="AB26" s="2150">
        <v>1483277</v>
      </c>
      <c r="AC26" s="1767">
        <f>L26*1000000/AA26</f>
        <v>830.62198813275938</v>
      </c>
      <c r="AD26" s="1912">
        <f>AE26/AB26*1000</f>
        <v>2.6925860779881301</v>
      </c>
      <c r="AE26" s="516">
        <f>AF26+AG26+AH26</f>
        <v>3993.8509999999997</v>
      </c>
      <c r="AF26" s="517">
        <f t="shared" si="15"/>
        <v>3993.8509999999997</v>
      </c>
      <c r="AG26" s="517">
        <f t="shared" si="15"/>
        <v>0</v>
      </c>
      <c r="AH26" s="518">
        <f t="shared" si="15"/>
        <v>0</v>
      </c>
      <c r="AI26" s="519">
        <f>E121</f>
        <v>0</v>
      </c>
      <c r="AJ26" s="472"/>
      <c r="AK26" s="472"/>
      <c r="AL26" s="472"/>
      <c r="AM26" s="472"/>
    </row>
    <row r="27" spans="1:39" s="522" customFormat="1" ht="15.75" customHeight="1" outlineLevel="1" thickBot="1">
      <c r="A27" s="520" t="s">
        <v>17</v>
      </c>
      <c r="B27" s="1882">
        <f t="shared" ref="B27:AI27" si="16">B26-B25</f>
        <v>-326</v>
      </c>
      <c r="C27" s="1883">
        <f t="shared" si="16"/>
        <v>13.373000000000019</v>
      </c>
      <c r="D27" s="1882">
        <f t="shared" si="16"/>
        <v>0</v>
      </c>
      <c r="E27" s="1839">
        <f t="shared" si="16"/>
        <v>0</v>
      </c>
      <c r="F27" s="1882">
        <f t="shared" si="16"/>
        <v>0</v>
      </c>
      <c r="G27" s="1835">
        <f t="shared" si="16"/>
        <v>0</v>
      </c>
      <c r="H27" s="1884">
        <f t="shared" si="16"/>
        <v>0</v>
      </c>
      <c r="I27" s="1839">
        <f t="shared" si="16"/>
        <v>0</v>
      </c>
      <c r="J27" s="1882">
        <f t="shared" si="16"/>
        <v>-20</v>
      </c>
      <c r="K27" s="1835">
        <f t="shared" si="16"/>
        <v>76.557000000000016</v>
      </c>
      <c r="L27" s="1836">
        <f t="shared" si="16"/>
        <v>-63.785000000000082</v>
      </c>
      <c r="M27" s="1884">
        <f t="shared" si="16"/>
        <v>-284</v>
      </c>
      <c r="N27" s="1839">
        <f t="shared" si="16"/>
        <v>-30.640999999999988</v>
      </c>
      <c r="O27" s="1882">
        <f t="shared" si="16"/>
        <v>1191</v>
      </c>
      <c r="P27" s="1883">
        <f t="shared" si="16"/>
        <v>100.33799999999997</v>
      </c>
      <c r="Q27" s="1884">
        <f t="shared" si="16"/>
        <v>-346</v>
      </c>
      <c r="R27" s="1885">
        <f t="shared" si="16"/>
        <v>-36.67999999999995</v>
      </c>
      <c r="S27" s="1834">
        <f t="shared" si="16"/>
        <v>-18.080000000000013</v>
      </c>
      <c r="T27" s="1835">
        <f t="shared" si="16"/>
        <v>0.77019999999999911</v>
      </c>
      <c r="U27" s="1884">
        <f t="shared" si="16"/>
        <v>195.32</v>
      </c>
      <c r="V27" s="1839">
        <f t="shared" si="16"/>
        <v>11.488199999999999</v>
      </c>
      <c r="W27" s="1834">
        <f t="shared" si="16"/>
        <v>-1084.2399999999998</v>
      </c>
      <c r="X27" s="1835">
        <f t="shared" si="16"/>
        <v>-19.130400000000407</v>
      </c>
      <c r="Y27" s="1834">
        <f t="shared" si="16"/>
        <v>-705.11999999999989</v>
      </c>
      <c r="Z27" s="1835">
        <f t="shared" si="16"/>
        <v>-2.8787000000001797</v>
      </c>
      <c r="AA27" s="1840">
        <f t="shared" si="16"/>
        <v>-72367.199279712047</v>
      </c>
      <c r="AB27" s="1840">
        <f t="shared" si="16"/>
        <v>-34854</v>
      </c>
      <c r="AC27" s="521">
        <f t="shared" si="16"/>
        <v>-2.3780118672405024</v>
      </c>
      <c r="AD27" s="1221">
        <f t="shared" si="16"/>
        <v>0.18158607798812998</v>
      </c>
      <c r="AE27" s="1222">
        <f t="shared" si="16"/>
        <v>181.82405899999958</v>
      </c>
      <c r="AF27" s="1223">
        <f>AE27-AG27</f>
        <v>181.82405899999958</v>
      </c>
      <c r="AG27" s="1223">
        <f t="shared" si="16"/>
        <v>0</v>
      </c>
      <c r="AH27" s="1224">
        <f t="shared" si="16"/>
        <v>0</v>
      </c>
      <c r="AI27" s="1225">
        <f t="shared" si="16"/>
        <v>0</v>
      </c>
    </row>
    <row r="28" spans="1:39" ht="15.75" customHeight="1">
      <c r="A28" s="528" t="s">
        <v>311</v>
      </c>
      <c r="B28" s="502"/>
      <c r="C28" s="1817"/>
      <c r="D28" s="502"/>
      <c r="E28" s="1817"/>
      <c r="F28" s="502"/>
      <c r="G28" s="1817"/>
      <c r="H28" s="502"/>
      <c r="I28" s="697"/>
      <c r="J28" s="502">
        <f>'[1]св-во Шув-1'!J28+'[2]св-во Шув-1'!J28</f>
        <v>311</v>
      </c>
      <c r="K28" s="1593">
        <f>'[1]св-во Шув-1'!K28+'[2]св-во Шув-1'!K28</f>
        <v>46.695</v>
      </c>
      <c r="L28" s="1593">
        <f>'[1]св-во Шув-1'!L28+'[2]св-во Шув-1'!L28</f>
        <v>26.306999999999995</v>
      </c>
      <c r="M28" s="502"/>
      <c r="N28" s="1817"/>
      <c r="O28" s="502">
        <f>'[1]св-во Шув-1'!O28+'[2]св-во Шув-1'!O28</f>
        <v>311</v>
      </c>
      <c r="P28" s="1593">
        <f>'[1]св-во Шув-1'!P28+'[2]св-во Шув-1'!P28</f>
        <v>73.001999999999995</v>
      </c>
      <c r="Q28" s="502"/>
      <c r="R28" s="1817"/>
      <c r="S28" s="502"/>
      <c r="T28" s="1817"/>
      <c r="U28" s="502"/>
      <c r="V28" s="697"/>
      <c r="W28" s="502"/>
      <c r="X28" s="503"/>
      <c r="Y28" s="502"/>
      <c r="Z28" s="503"/>
      <c r="AA28" s="1256"/>
      <c r="AB28" s="1768"/>
      <c r="AC28" s="504"/>
      <c r="AD28" s="1219"/>
      <c r="AE28" s="506">
        <f>AB28*AD28/1000</f>
        <v>0</v>
      </c>
      <c r="AF28" s="592"/>
      <c r="AG28" s="592"/>
      <c r="AH28" s="593"/>
      <c r="AI28" s="594"/>
      <c r="AJ28" s="472"/>
      <c r="AK28" s="472"/>
      <c r="AL28" s="472"/>
      <c r="AM28" s="472"/>
    </row>
    <row r="29" spans="1:39" ht="15.75" customHeight="1" outlineLevel="1">
      <c r="A29" s="510" t="s">
        <v>16</v>
      </c>
      <c r="B29" s="513"/>
      <c r="C29" s="1826"/>
      <c r="D29" s="513"/>
      <c r="E29" s="1826"/>
      <c r="F29" s="513"/>
      <c r="G29" s="1826"/>
      <c r="H29" s="513"/>
      <c r="I29" s="1880"/>
      <c r="J29" s="2147">
        <f>M11</f>
        <v>204</v>
      </c>
      <c r="K29" s="2149">
        <f>N11</f>
        <v>32.387999999999998</v>
      </c>
      <c r="L29" s="2149">
        <f>P29-K29</f>
        <v>8.0870000000000033</v>
      </c>
      <c r="M29" s="513"/>
      <c r="N29" s="1826"/>
      <c r="O29" s="2147">
        <f>J29</f>
        <v>204</v>
      </c>
      <c r="P29" s="2148">
        <v>40.475000000000001</v>
      </c>
      <c r="Q29" s="513"/>
      <c r="R29" s="1826"/>
      <c r="S29" s="513"/>
      <c r="T29" s="1826"/>
      <c r="U29" s="513"/>
      <c r="V29" s="1880"/>
      <c r="W29" s="513"/>
      <c r="X29" s="514"/>
      <c r="Y29" s="1344"/>
      <c r="Z29" s="731"/>
      <c r="AA29" s="1769"/>
      <c r="AB29" s="1881"/>
      <c r="AC29" s="515"/>
      <c r="AD29" s="1220" t="e">
        <f>AE29/AB29*1000</f>
        <v>#DIV/0!</v>
      </c>
      <c r="AE29" s="516">
        <f>AF29+AG29+AH29</f>
        <v>6056.7249999999995</v>
      </c>
      <c r="AF29" s="517">
        <f t="shared" ref="AF29" si="17">K61</f>
        <v>6056.049</v>
      </c>
      <c r="AG29" s="517">
        <f t="shared" ref="AG29" si="18">L61</f>
        <v>0.65999999999999992</v>
      </c>
      <c r="AH29" s="518">
        <f t="shared" ref="AH29" si="19">M61</f>
        <v>1.6E-2</v>
      </c>
      <c r="AI29" s="519">
        <f>E124</f>
        <v>0</v>
      </c>
      <c r="AJ29" s="472"/>
      <c r="AK29" s="472"/>
      <c r="AL29" s="472"/>
      <c r="AM29" s="472"/>
    </row>
    <row r="30" spans="1:39" s="522" customFormat="1" ht="15.75" customHeight="1" outlineLevel="1" thickBot="1">
      <c r="A30" s="520" t="s">
        <v>17</v>
      </c>
      <c r="B30" s="1882">
        <f t="shared" ref="B30:AI30" si="20">B29-B28</f>
        <v>0</v>
      </c>
      <c r="C30" s="1883">
        <f t="shared" si="20"/>
        <v>0</v>
      </c>
      <c r="D30" s="1882">
        <f t="shared" si="20"/>
        <v>0</v>
      </c>
      <c r="E30" s="1839">
        <f t="shared" si="20"/>
        <v>0</v>
      </c>
      <c r="F30" s="1882">
        <f t="shared" si="20"/>
        <v>0</v>
      </c>
      <c r="G30" s="1835">
        <f t="shared" si="20"/>
        <v>0</v>
      </c>
      <c r="H30" s="1884">
        <f t="shared" si="20"/>
        <v>0</v>
      </c>
      <c r="I30" s="1839">
        <f t="shared" si="20"/>
        <v>0</v>
      </c>
      <c r="J30" s="1882">
        <f t="shared" si="20"/>
        <v>-107</v>
      </c>
      <c r="K30" s="1835">
        <f t="shared" si="20"/>
        <v>-14.307000000000002</v>
      </c>
      <c r="L30" s="1836">
        <f t="shared" si="20"/>
        <v>-18.219999999999992</v>
      </c>
      <c r="M30" s="1884">
        <f t="shared" si="20"/>
        <v>0</v>
      </c>
      <c r="N30" s="1839">
        <f t="shared" si="20"/>
        <v>0</v>
      </c>
      <c r="O30" s="1882">
        <f t="shared" si="20"/>
        <v>-107</v>
      </c>
      <c r="P30" s="1883">
        <f t="shared" si="20"/>
        <v>-32.526999999999994</v>
      </c>
      <c r="Q30" s="1884">
        <f t="shared" si="20"/>
        <v>0</v>
      </c>
      <c r="R30" s="1885">
        <f t="shared" si="20"/>
        <v>0</v>
      </c>
      <c r="S30" s="1882">
        <f t="shared" si="20"/>
        <v>0</v>
      </c>
      <c r="T30" s="1835">
        <f t="shared" si="20"/>
        <v>0</v>
      </c>
      <c r="U30" s="1884">
        <f t="shared" si="20"/>
        <v>0</v>
      </c>
      <c r="V30" s="1839">
        <f t="shared" si="20"/>
        <v>0</v>
      </c>
      <c r="W30" s="1834">
        <f t="shared" si="20"/>
        <v>0</v>
      </c>
      <c r="X30" s="1835">
        <f t="shared" si="20"/>
        <v>0</v>
      </c>
      <c r="Y30" s="1834">
        <f t="shared" si="20"/>
        <v>0</v>
      </c>
      <c r="Z30" s="1835">
        <f t="shared" si="20"/>
        <v>0</v>
      </c>
      <c r="AA30" s="1840">
        <f t="shared" si="20"/>
        <v>0</v>
      </c>
      <c r="AB30" s="1840">
        <f t="shared" si="20"/>
        <v>0</v>
      </c>
      <c r="AC30" s="521">
        <f t="shared" si="20"/>
        <v>0</v>
      </c>
      <c r="AD30" s="1221" t="e">
        <f t="shared" si="20"/>
        <v>#DIV/0!</v>
      </c>
      <c r="AE30" s="1222">
        <f t="shared" si="20"/>
        <v>6056.7249999999995</v>
      </c>
      <c r="AF30" s="1223">
        <f>AE30-AG30</f>
        <v>6056.0649999999996</v>
      </c>
      <c r="AG30" s="1223">
        <f t="shared" si="20"/>
        <v>0.65999999999999992</v>
      </c>
      <c r="AH30" s="1224">
        <f t="shared" si="20"/>
        <v>1.6E-2</v>
      </c>
      <c r="AI30" s="1225">
        <f t="shared" si="20"/>
        <v>0</v>
      </c>
    </row>
    <row r="31" spans="1:39" s="471" customFormat="1" ht="15.75" customHeight="1" thickBot="1">
      <c r="A31" s="530" t="s">
        <v>37</v>
      </c>
      <c r="B31" s="1853">
        <f>B7+B10+B13+B16+B19+B22+B25+B28</f>
        <v>8934</v>
      </c>
      <c r="C31" s="1856">
        <f>C7+C10+C13+C16+C19+C22+C25+C28</f>
        <v>298.73759999999999</v>
      </c>
      <c r="D31" s="1853">
        <f t="shared" ref="C31:K32" si="21">D7+D10+D13+D16+D19+D22+D25+D28</f>
        <v>19080</v>
      </c>
      <c r="E31" s="1886">
        <f t="shared" si="21"/>
        <v>26.711999999999996</v>
      </c>
      <c r="F31" s="1853">
        <f t="shared" si="21"/>
        <v>0</v>
      </c>
      <c r="G31" s="1856">
        <f t="shared" si="21"/>
        <v>0</v>
      </c>
      <c r="H31" s="1887">
        <f>H7+H10+H13+H16+H19+H22+H25+H28</f>
        <v>2783</v>
      </c>
      <c r="I31" s="1886">
        <f>I7+I10+I13+I16+I19+I22+I25+I28</f>
        <v>83.465000000000003</v>
      </c>
      <c r="J31" s="1853">
        <f t="shared" si="21"/>
        <v>38161</v>
      </c>
      <c r="K31" s="1888">
        <f>K7+K10+K13+K16+K19+K22+K25+K28</f>
        <v>1014.2140000000001</v>
      </c>
      <c r="L31" s="1889">
        <f t="shared" ref="L31:Z32" si="22">L7+L10+L13+L16+L19+L22+L25+L28</f>
        <v>1945.3973499552001</v>
      </c>
      <c r="M31" s="1887">
        <f t="shared" si="22"/>
        <v>38161</v>
      </c>
      <c r="N31" s="1890">
        <f t="shared" si="22"/>
        <v>1014.2190000000001</v>
      </c>
      <c r="O31" s="1853">
        <f t="shared" si="22"/>
        <v>13463</v>
      </c>
      <c r="P31" s="1856">
        <f t="shared" si="22"/>
        <v>1460.5079999999998</v>
      </c>
      <c r="Q31" s="1887">
        <f t="shared" si="22"/>
        <v>5537</v>
      </c>
      <c r="R31" s="1886">
        <f t="shared" si="22"/>
        <v>581.59999999999991</v>
      </c>
      <c r="S31" s="1853">
        <f t="shared" si="22"/>
        <v>2621.77</v>
      </c>
      <c r="T31" s="1856">
        <f t="shared" si="22"/>
        <v>21.2330999552</v>
      </c>
      <c r="U31" s="1887">
        <f t="shared" si="22"/>
        <v>517.83000000000004</v>
      </c>
      <c r="V31" s="1886">
        <f t="shared" si="22"/>
        <v>12.122850000000001</v>
      </c>
      <c r="W31" s="1853">
        <f t="shared" si="22"/>
        <v>8657.4</v>
      </c>
      <c r="X31" s="1888">
        <f t="shared" si="22"/>
        <v>278.84300000000025</v>
      </c>
      <c r="Y31" s="1853">
        <f t="shared" si="22"/>
        <v>8795.7000000000007</v>
      </c>
      <c r="Z31" s="598">
        <f t="shared" si="22"/>
        <v>288.79030000000012</v>
      </c>
      <c r="AA31" s="1891">
        <f>AA7+AA10+AA13+AA16+AA19+AA22+AA25+AA28</f>
        <v>3164626.2316430155</v>
      </c>
      <c r="AB31" s="1892">
        <f>AB7+AB10+AB13+AB16+AB19+AB22+AB25+AB28</f>
        <v>3405434.08</v>
      </c>
      <c r="AC31" s="531">
        <f>L31*1000000/AA31</f>
        <v>614.73210659231177</v>
      </c>
      <c r="AD31" s="1346">
        <f>AE31/AB31*1000</f>
        <v>1.6425219718245139</v>
      </c>
      <c r="AE31" s="2153">
        <f t="shared" ref="AE31:AI32" si="23">AE7+AE10+AE13+AE16+AE19+AE22+AE25+AE28</f>
        <v>5593.5002999999997</v>
      </c>
      <c r="AF31" s="599">
        <f t="shared" si="23"/>
        <v>5593.5002999999997</v>
      </c>
      <c r="AG31" s="599">
        <f t="shared" si="23"/>
        <v>0</v>
      </c>
      <c r="AH31" s="598">
        <f t="shared" si="23"/>
        <v>0</v>
      </c>
      <c r="AI31" s="901">
        <f t="shared" si="23"/>
        <v>0</v>
      </c>
    </row>
    <row r="32" spans="1:39" s="471" customFormat="1" ht="15.75" customHeight="1" outlineLevel="1" thickBot="1">
      <c r="A32" s="532" t="s">
        <v>38</v>
      </c>
      <c r="B32" s="1853">
        <f>B8+B11+B14+B17+B20+B23+B26+B29</f>
        <v>8949</v>
      </c>
      <c r="C32" s="1893">
        <f t="shared" si="21"/>
        <v>317.834</v>
      </c>
      <c r="D32" s="1894">
        <f t="shared" si="21"/>
        <v>21717</v>
      </c>
      <c r="E32" s="1895">
        <f t="shared" si="21"/>
        <v>33.228000000000002</v>
      </c>
      <c r="F32" s="1894">
        <f t="shared" si="21"/>
        <v>308</v>
      </c>
      <c r="G32" s="1893">
        <f t="shared" si="21"/>
        <v>30.24</v>
      </c>
      <c r="H32" s="1896">
        <f>H8+H11+H14+H17+H20+H23+H26+H29</f>
        <v>2434</v>
      </c>
      <c r="I32" s="1895">
        <f>I8+I11+I14+I17+I20+I23+I26+I29</f>
        <v>111.58199999999999</v>
      </c>
      <c r="J32" s="1894">
        <f t="shared" si="21"/>
        <v>40076</v>
      </c>
      <c r="K32" s="1893">
        <f t="shared" si="21"/>
        <v>1086.7469999999998</v>
      </c>
      <c r="L32" s="1897">
        <f t="shared" si="22"/>
        <v>1998.1999999999998</v>
      </c>
      <c r="M32" s="1896">
        <f t="shared" si="22"/>
        <v>40005</v>
      </c>
      <c r="N32" s="1895">
        <f t="shared" si="22"/>
        <v>1079.538</v>
      </c>
      <c r="O32" s="1894">
        <f t="shared" si="22"/>
        <v>14738</v>
      </c>
      <c r="P32" s="1893">
        <f t="shared" si="22"/>
        <v>1512.0549999999998</v>
      </c>
      <c r="Q32" s="1896">
        <f t="shared" si="22"/>
        <v>5199</v>
      </c>
      <c r="R32" s="1895">
        <f t="shared" si="22"/>
        <v>553.79</v>
      </c>
      <c r="S32" s="1894">
        <f t="shared" si="22"/>
        <v>1915</v>
      </c>
      <c r="T32" s="1893">
        <f t="shared" si="22"/>
        <v>18.171999999999997</v>
      </c>
      <c r="U32" s="1896">
        <f t="shared" si="22"/>
        <v>1164</v>
      </c>
      <c r="V32" s="1895">
        <f t="shared" si="22"/>
        <v>36.721000000000004</v>
      </c>
      <c r="W32" s="1894">
        <f t="shared" si="22"/>
        <v>10463</v>
      </c>
      <c r="X32" s="1893">
        <f t="shared" si="22"/>
        <v>377.55499999999978</v>
      </c>
      <c r="Y32" s="1894">
        <f t="shared" si="22"/>
        <v>9706</v>
      </c>
      <c r="Z32" s="1898">
        <f>Z8+Z11+Z14+Z17+Z20+Z23+Z26+Z29</f>
        <v>347.69449999999989</v>
      </c>
      <c r="AA32" s="1899">
        <f>AA8+AA11+AA14+AA17+AA20+AA23+AA26+AA29</f>
        <v>3259720</v>
      </c>
      <c r="AB32" s="2152">
        <f>AB8+AB11+AB14+AB17+AB20+AB23+AB26+AB29</f>
        <v>3566472</v>
      </c>
      <c r="AC32" s="1347">
        <f>L32*1000000/AA32</f>
        <v>612.99743536254641</v>
      </c>
      <c r="AD32" s="1348">
        <f>AE32/AB32*1000</f>
        <v>3.3964822939868866</v>
      </c>
      <c r="AE32" s="1349">
        <f t="shared" si="23"/>
        <v>12113.458999999999</v>
      </c>
      <c r="AF32" s="1350">
        <f t="shared" si="23"/>
        <v>12112.098</v>
      </c>
      <c r="AG32" s="1350">
        <f t="shared" si="23"/>
        <v>0.68499999999999994</v>
      </c>
      <c r="AH32" s="1351">
        <f t="shared" si="23"/>
        <v>0.67599999999999993</v>
      </c>
      <c r="AI32" s="1352">
        <f t="shared" si="23"/>
        <v>206.84771999999998</v>
      </c>
    </row>
    <row r="33" spans="1:39" s="1604" customFormat="1" ht="15.75" customHeight="1" outlineLevel="1" thickBot="1">
      <c r="A33" s="1596" t="s">
        <v>17</v>
      </c>
      <c r="B33" s="1900">
        <f t="shared" ref="B33:AI33" si="24">B32-B31</f>
        <v>15</v>
      </c>
      <c r="C33" s="1901">
        <f t="shared" si="24"/>
        <v>19.096400000000017</v>
      </c>
      <c r="D33" s="1900">
        <f t="shared" si="24"/>
        <v>2637</v>
      </c>
      <c r="E33" s="1871">
        <f t="shared" si="24"/>
        <v>6.5160000000000053</v>
      </c>
      <c r="F33" s="1900">
        <f t="shared" si="24"/>
        <v>308</v>
      </c>
      <c r="G33" s="1867">
        <f t="shared" si="24"/>
        <v>30.24</v>
      </c>
      <c r="H33" s="1902">
        <f t="shared" si="24"/>
        <v>-349</v>
      </c>
      <c r="I33" s="1871">
        <f t="shared" si="24"/>
        <v>28.11699999999999</v>
      </c>
      <c r="J33" s="1900">
        <f t="shared" si="24"/>
        <v>1915</v>
      </c>
      <c r="K33" s="1867">
        <f t="shared" si="24"/>
        <v>72.532999999999788</v>
      </c>
      <c r="L33" s="1903">
        <f t="shared" si="24"/>
        <v>52.802650044799748</v>
      </c>
      <c r="M33" s="1902">
        <f t="shared" si="24"/>
        <v>1844</v>
      </c>
      <c r="N33" s="1871">
        <f t="shared" si="24"/>
        <v>65.31899999999996</v>
      </c>
      <c r="O33" s="1900">
        <f t="shared" si="24"/>
        <v>1275</v>
      </c>
      <c r="P33" s="1901">
        <f t="shared" si="24"/>
        <v>51.547000000000025</v>
      </c>
      <c r="Q33" s="1902">
        <f t="shared" si="24"/>
        <v>-338</v>
      </c>
      <c r="R33" s="1904">
        <f t="shared" si="24"/>
        <v>-27.809999999999945</v>
      </c>
      <c r="S33" s="1866">
        <f t="shared" si="24"/>
        <v>-706.77</v>
      </c>
      <c r="T33" s="1867">
        <f t="shared" si="24"/>
        <v>-3.0610999552000031</v>
      </c>
      <c r="U33" s="1870">
        <f t="shared" si="24"/>
        <v>646.16999999999996</v>
      </c>
      <c r="V33" s="1871">
        <f t="shared" si="24"/>
        <v>24.598150000000004</v>
      </c>
      <c r="W33" s="1866">
        <f t="shared" si="24"/>
        <v>1805.6000000000004</v>
      </c>
      <c r="X33" s="1867">
        <f t="shared" si="24"/>
        <v>98.711999999999534</v>
      </c>
      <c r="Y33" s="1866">
        <f t="shared" si="24"/>
        <v>910.29999999999927</v>
      </c>
      <c r="Z33" s="1867">
        <f t="shared" si="24"/>
        <v>58.904199999999776</v>
      </c>
      <c r="AA33" s="1872">
        <f t="shared" si="24"/>
        <v>95093.768356984481</v>
      </c>
      <c r="AB33" s="1872">
        <f t="shared" si="24"/>
        <v>161037.91999999993</v>
      </c>
      <c r="AC33" s="1598">
        <f t="shared" si="24"/>
        <v>-1.7346712297653539</v>
      </c>
      <c r="AD33" s="1599">
        <f t="shared" si="24"/>
        <v>1.7539603221623727</v>
      </c>
      <c r="AE33" s="1600">
        <f t="shared" si="24"/>
        <v>6519.9586999999992</v>
      </c>
      <c r="AF33" s="1601">
        <f>AE33-AG33</f>
        <v>6519.2736999999988</v>
      </c>
      <c r="AG33" s="1601">
        <f t="shared" si="24"/>
        <v>0.68499999999999994</v>
      </c>
      <c r="AH33" s="1602">
        <f t="shared" si="24"/>
        <v>0.67599999999999993</v>
      </c>
      <c r="AI33" s="1603">
        <f t="shared" si="24"/>
        <v>206.84771999999998</v>
      </c>
    </row>
    <row r="34" spans="1:39" ht="16.5" customHeight="1">
      <c r="T34" s="474">
        <f>V31+R31</f>
        <v>593.72284999999988</v>
      </c>
    </row>
    <row r="35" spans="1:39" s="476" customFormat="1" ht="9" customHeight="1">
      <c r="A35" s="476" t="s">
        <v>313</v>
      </c>
      <c r="C35" s="473"/>
      <c r="P35" s="473"/>
      <c r="R35" s="473"/>
    </row>
    <row r="36" spans="1:39" ht="8.25">
      <c r="A36" s="476"/>
      <c r="B36" s="476"/>
      <c r="D36" s="476"/>
      <c r="E36" s="476"/>
      <c r="F36" s="476"/>
      <c r="G36" s="476"/>
      <c r="H36" s="476"/>
      <c r="I36" s="476"/>
      <c r="J36" s="476"/>
      <c r="K36" s="476"/>
      <c r="L36" s="476"/>
      <c r="M36" s="476"/>
      <c r="N36" s="476"/>
      <c r="O36" s="476"/>
      <c r="Q36" s="476"/>
      <c r="S36" s="476"/>
      <c r="T36" s="476"/>
      <c r="U36" s="476"/>
      <c r="V36" s="476"/>
      <c r="W36" s="476"/>
      <c r="X36" s="476"/>
      <c r="Y36" s="476"/>
      <c r="Z36" s="476"/>
      <c r="AA36" s="476"/>
      <c r="AB36" s="476"/>
      <c r="AC36" s="476"/>
      <c r="AD36" s="476"/>
      <c r="AE36" s="476"/>
      <c r="AF36" s="476"/>
      <c r="AG36" s="476"/>
    </row>
    <row r="37" spans="1:39" s="534" customFormat="1" ht="11.25" customHeight="1">
      <c r="A37" s="533"/>
      <c r="B37" s="2424" t="s">
        <v>277</v>
      </c>
      <c r="C37" s="2425"/>
      <c r="D37" s="2375" t="s">
        <v>317</v>
      </c>
      <c r="E37" s="2376"/>
      <c r="F37" s="2376"/>
      <c r="G37" s="2376"/>
      <c r="H37" s="2376"/>
      <c r="I37" s="2376"/>
      <c r="J37" s="2376"/>
      <c r="K37" s="2376"/>
      <c r="L37" s="2376"/>
      <c r="M37" s="2440"/>
      <c r="N37" s="2377" t="s">
        <v>316</v>
      </c>
      <c r="O37" s="2377"/>
      <c r="P37" s="2377"/>
      <c r="Q37" s="2373" t="s">
        <v>278</v>
      </c>
      <c r="R37" s="2371" t="s">
        <v>279</v>
      </c>
      <c r="S37" s="2371" t="s">
        <v>280</v>
      </c>
      <c r="T37" s="2371" t="s">
        <v>281</v>
      </c>
      <c r="AA37" s="476"/>
    </row>
    <row r="38" spans="1:39" ht="15.75" customHeight="1">
      <c r="A38" s="535"/>
      <c r="B38" s="2426"/>
      <c r="C38" s="2427"/>
      <c r="D38" s="536" t="s">
        <v>282</v>
      </c>
      <c r="E38" s="536" t="s">
        <v>283</v>
      </c>
      <c r="F38" s="536" t="s">
        <v>432</v>
      </c>
      <c r="G38" s="536" t="s">
        <v>284</v>
      </c>
      <c r="H38" s="536" t="s">
        <v>285</v>
      </c>
      <c r="I38" s="536" t="s">
        <v>286</v>
      </c>
      <c r="J38" s="536" t="s">
        <v>287</v>
      </c>
      <c r="K38" s="537" t="s">
        <v>288</v>
      </c>
      <c r="L38" s="537" t="s">
        <v>693</v>
      </c>
      <c r="M38" s="537" t="s">
        <v>682</v>
      </c>
      <c r="N38" s="538" t="s">
        <v>324</v>
      </c>
      <c r="O38" s="539" t="s">
        <v>325</v>
      </c>
      <c r="P38" s="540" t="s">
        <v>326</v>
      </c>
      <c r="Q38" s="2374"/>
      <c r="R38" s="2372"/>
      <c r="S38" s="2372"/>
      <c r="T38" s="2372"/>
      <c r="U38" s="476"/>
      <c r="V38" s="476"/>
      <c r="W38" s="476"/>
      <c r="X38" s="476"/>
      <c r="Y38" s="476"/>
      <c r="Z38" s="476" t="s">
        <v>42</v>
      </c>
      <c r="AA38" s="476" t="s">
        <v>43</v>
      </c>
      <c r="AC38" s="472"/>
      <c r="AD38" s="472"/>
      <c r="AE38" s="472"/>
      <c r="AF38" s="472"/>
      <c r="AG38" s="472"/>
      <c r="AH38" s="472"/>
      <c r="AI38" s="472"/>
      <c r="AJ38" s="472"/>
      <c r="AK38" s="472"/>
      <c r="AL38" s="472"/>
      <c r="AM38" s="472"/>
    </row>
    <row r="39" spans="1:39" ht="9.75" customHeight="1">
      <c r="A39" s="535" t="s">
        <v>290</v>
      </c>
      <c r="B39" s="2435">
        <f>AE7</f>
        <v>10.948499999999999</v>
      </c>
      <c r="C39" s="2436"/>
      <c r="D39" s="600"/>
      <c r="E39" s="600">
        <f>B39</f>
        <v>10.948499999999999</v>
      </c>
      <c r="F39" s="600"/>
      <c r="G39" s="600"/>
      <c r="H39" s="600"/>
      <c r="I39" s="600"/>
      <c r="J39" s="600"/>
      <c r="K39" s="601">
        <f>SUM(D39:J39)</f>
        <v>10.948499999999999</v>
      </c>
      <c r="L39" s="600"/>
      <c r="M39" s="600"/>
      <c r="N39" s="512"/>
      <c r="O39" s="602"/>
      <c r="P39" s="600"/>
      <c r="Q39" s="603">
        <f>D85</f>
        <v>117.14895</v>
      </c>
      <c r="R39" s="603">
        <f>E83</f>
        <v>220.44804749999997</v>
      </c>
      <c r="S39" s="604"/>
      <c r="T39" s="605">
        <f>R39/Q39*10</f>
        <v>18.817757009345794</v>
      </c>
      <c r="U39" s="476"/>
      <c r="V39" s="476"/>
      <c r="W39" s="476"/>
      <c r="X39" s="1642" t="s">
        <v>648</v>
      </c>
      <c r="Y39" s="1643" t="s">
        <v>10</v>
      </c>
      <c r="Z39" s="1644">
        <v>1820</v>
      </c>
      <c r="AA39" s="1644">
        <v>1758</v>
      </c>
      <c r="AC39" s="472"/>
      <c r="AD39" s="472"/>
      <c r="AE39" s="472"/>
      <c r="AF39" s="472"/>
      <c r="AG39" s="472"/>
      <c r="AH39" s="472"/>
      <c r="AI39" s="472"/>
      <c r="AJ39" s="472"/>
      <c r="AK39" s="472"/>
      <c r="AL39" s="472"/>
      <c r="AM39" s="472"/>
    </row>
    <row r="40" spans="1:39" ht="10.5" customHeight="1" outlineLevel="1">
      <c r="A40" s="543" t="s">
        <v>16</v>
      </c>
      <c r="B40" s="2435">
        <f>K40+L40+M40</f>
        <v>10.32</v>
      </c>
      <c r="C40" s="2436"/>
      <c r="D40" s="2166">
        <v>1.395</v>
      </c>
      <c r="E40" s="2167">
        <v>8.9250000000000007</v>
      </c>
      <c r="F40" s="607"/>
      <c r="G40" s="606"/>
      <c r="H40" s="607"/>
      <c r="I40" s="595"/>
      <c r="J40" s="608"/>
      <c r="K40" s="601">
        <f>SUM(D40:J40)</f>
        <v>10.32</v>
      </c>
      <c r="L40" s="595"/>
      <c r="M40" s="608"/>
      <c r="N40" s="1790">
        <v>1.6E-2</v>
      </c>
      <c r="O40" s="1790"/>
      <c r="P40" s="1790">
        <v>1.6E-2</v>
      </c>
      <c r="Q40" s="603"/>
      <c r="R40" s="603">
        <f>E106</f>
        <v>203.10588999999999</v>
      </c>
      <c r="S40" s="608"/>
      <c r="T40" s="605" t="e">
        <f>R40/Q40*10</f>
        <v>#DIV/0!</v>
      </c>
      <c r="V40" s="472"/>
      <c r="W40" s="472"/>
      <c r="X40" s="1642" t="s">
        <v>649</v>
      </c>
      <c r="Y40" s="1643" t="s">
        <v>10</v>
      </c>
      <c r="Z40" s="1644">
        <v>1716</v>
      </c>
      <c r="AA40" s="1644">
        <v>1639</v>
      </c>
      <c r="AC40" s="472"/>
      <c r="AD40" s="472"/>
      <c r="AE40" s="472"/>
      <c r="AF40" s="472"/>
      <c r="AG40" s="472"/>
      <c r="AH40" s="472"/>
      <c r="AI40" s="472"/>
      <c r="AJ40" s="472"/>
      <c r="AK40" s="472"/>
      <c r="AL40" s="472"/>
      <c r="AM40" s="472"/>
    </row>
    <row r="41" spans="1:39" s="522" customFormat="1" ht="11.25" customHeight="1" outlineLevel="1">
      <c r="A41" s="547" t="s">
        <v>17</v>
      </c>
      <c r="B41" s="2437">
        <f>B40-B39</f>
        <v>-0.62849999999999895</v>
      </c>
      <c r="C41" s="2438"/>
      <c r="D41" s="904">
        <f>D40-D39</f>
        <v>1.395</v>
      </c>
      <c r="E41" s="904">
        <f t="shared" ref="E41:P41" si="25">E40-E39</f>
        <v>-2.0234999999999985</v>
      </c>
      <c r="F41" s="904">
        <f t="shared" si="25"/>
        <v>0</v>
      </c>
      <c r="G41" s="904">
        <f t="shared" si="25"/>
        <v>0</v>
      </c>
      <c r="H41" s="904">
        <f t="shared" si="25"/>
        <v>0</v>
      </c>
      <c r="I41" s="904">
        <f t="shared" si="25"/>
        <v>0</v>
      </c>
      <c r="J41" s="904">
        <f t="shared" si="25"/>
        <v>0</v>
      </c>
      <c r="K41" s="904">
        <f t="shared" si="25"/>
        <v>-0.62849999999999895</v>
      </c>
      <c r="L41" s="904">
        <f t="shared" si="25"/>
        <v>0</v>
      </c>
      <c r="M41" s="904">
        <f t="shared" si="25"/>
        <v>0</v>
      </c>
      <c r="N41" s="904">
        <f t="shared" si="25"/>
        <v>1.6E-2</v>
      </c>
      <c r="O41" s="904">
        <f t="shared" si="25"/>
        <v>0</v>
      </c>
      <c r="P41" s="904">
        <f t="shared" si="25"/>
        <v>1.6E-2</v>
      </c>
      <c r="Q41" s="904">
        <f>Q40-Q39</f>
        <v>-117.14895</v>
      </c>
      <c r="R41" s="904">
        <f>R40-R39</f>
        <v>-17.342157499999985</v>
      </c>
      <c r="S41" s="904">
        <f>S40-S39</f>
        <v>0</v>
      </c>
      <c r="T41" s="904" t="e">
        <f>T40-T39</f>
        <v>#DIV/0!</v>
      </c>
      <c r="AA41" s="476"/>
    </row>
    <row r="42" spans="1:39" ht="9.75" customHeight="1">
      <c r="A42" s="535" t="s">
        <v>291</v>
      </c>
      <c r="B42" s="2435">
        <f>AE10</f>
        <v>624.52390000000003</v>
      </c>
      <c r="C42" s="2436"/>
      <c r="D42" s="610">
        <f>B42*73%</f>
        <v>455.902447</v>
      </c>
      <c r="E42" s="610">
        <f>B42-D42</f>
        <v>168.62145300000003</v>
      </c>
      <c r="F42" s="610"/>
      <c r="G42" s="600"/>
      <c r="H42" s="600"/>
      <c r="I42" s="600"/>
      <c r="J42" s="600"/>
      <c r="K42" s="601">
        <f>SUM(D42:J42)</f>
        <v>624.52390000000003</v>
      </c>
      <c r="L42" s="600"/>
      <c r="M42" s="600"/>
      <c r="N42" s="600"/>
      <c r="O42" s="602"/>
      <c r="P42" s="600"/>
      <c r="Q42" s="603">
        <f>F85</f>
        <v>6591.2252406000007</v>
      </c>
      <c r="R42" s="603">
        <f>G83</f>
        <v>9722.6630180680004</v>
      </c>
      <c r="S42" s="604"/>
      <c r="T42" s="605">
        <f>R42/Q42*10</f>
        <v>14.750919082812203</v>
      </c>
      <c r="V42" s="472"/>
      <c r="W42" s="472"/>
      <c r="X42" s="472"/>
      <c r="Z42" s="472"/>
      <c r="AA42" s="474"/>
      <c r="AC42" s="472"/>
      <c r="AD42" s="472"/>
      <c r="AE42" s="472"/>
      <c r="AF42" s="472"/>
      <c r="AG42" s="472"/>
      <c r="AH42" s="472"/>
      <c r="AI42" s="472"/>
      <c r="AJ42" s="472"/>
      <c r="AK42" s="472"/>
      <c r="AL42" s="472"/>
      <c r="AM42" s="472"/>
    </row>
    <row r="43" spans="1:39" ht="10.5" customHeight="1" outlineLevel="1">
      <c r="A43" s="543" t="s">
        <v>16</v>
      </c>
      <c r="B43" s="2435">
        <f>K43+L43+M43</f>
        <v>798.59499999999991</v>
      </c>
      <c r="C43" s="2436"/>
      <c r="D43" s="2169">
        <v>435.20699999999999</v>
      </c>
      <c r="E43" s="2167">
        <v>362.79599999999999</v>
      </c>
      <c r="F43" s="607"/>
      <c r="G43" s="606"/>
      <c r="H43" s="607"/>
      <c r="I43" s="595"/>
      <c r="J43" s="608"/>
      <c r="K43" s="601">
        <f>SUM(D43:J43)</f>
        <v>798.00299999999993</v>
      </c>
      <c r="L43" s="595"/>
      <c r="M43" s="1790">
        <v>0.59199999999999997</v>
      </c>
      <c r="N43" s="595"/>
      <c r="O43" s="609"/>
      <c r="P43" s="595"/>
      <c r="Q43" s="603"/>
      <c r="R43" s="603">
        <f>G106</f>
        <v>13963.38466</v>
      </c>
      <c r="S43" s="608"/>
      <c r="T43" s="605" t="e">
        <f>R43/Q43*10</f>
        <v>#DIV/0!</v>
      </c>
      <c r="V43" s="472"/>
      <c r="W43" s="472"/>
      <c r="X43" s="472"/>
      <c r="Z43" s="472"/>
      <c r="AA43" s="476"/>
      <c r="AC43" s="472"/>
      <c r="AD43" s="472"/>
      <c r="AE43" s="472"/>
      <c r="AF43" s="472"/>
      <c r="AG43" s="472"/>
      <c r="AH43" s="472"/>
      <c r="AI43" s="472"/>
      <c r="AJ43" s="472"/>
      <c r="AK43" s="472"/>
      <c r="AL43" s="472"/>
      <c r="AM43" s="472"/>
    </row>
    <row r="44" spans="1:39" s="522" customFormat="1" ht="11.25" customHeight="1" outlineLevel="1">
      <c r="A44" s="547" t="s">
        <v>17</v>
      </c>
      <c r="B44" s="2437">
        <f>B43-B42</f>
        <v>174.07109999999989</v>
      </c>
      <c r="C44" s="2438"/>
      <c r="D44" s="904">
        <f t="shared" ref="D44:T44" si="26">D43-D42</f>
        <v>-20.695447000000001</v>
      </c>
      <c r="E44" s="904">
        <f t="shared" si="26"/>
        <v>194.17454699999996</v>
      </c>
      <c r="F44" s="904">
        <f t="shared" si="26"/>
        <v>0</v>
      </c>
      <c r="G44" s="904">
        <f t="shared" si="26"/>
        <v>0</v>
      </c>
      <c r="H44" s="904">
        <f t="shared" si="26"/>
        <v>0</v>
      </c>
      <c r="I44" s="904">
        <f t="shared" si="26"/>
        <v>0</v>
      </c>
      <c r="J44" s="904">
        <f t="shared" si="26"/>
        <v>0</v>
      </c>
      <c r="K44" s="904">
        <f t="shared" si="26"/>
        <v>173.4790999999999</v>
      </c>
      <c r="L44" s="904">
        <f t="shared" si="26"/>
        <v>0</v>
      </c>
      <c r="M44" s="904">
        <f t="shared" si="26"/>
        <v>0.59199999999999997</v>
      </c>
      <c r="N44" s="904">
        <f t="shared" si="26"/>
        <v>0</v>
      </c>
      <c r="O44" s="904">
        <f t="shared" si="26"/>
        <v>0</v>
      </c>
      <c r="P44" s="904">
        <f t="shared" si="26"/>
        <v>0</v>
      </c>
      <c r="Q44" s="904">
        <f t="shared" si="26"/>
        <v>-6591.2252406000007</v>
      </c>
      <c r="R44" s="904">
        <f t="shared" si="26"/>
        <v>4240.7216419319993</v>
      </c>
      <c r="S44" s="904">
        <f t="shared" si="26"/>
        <v>0</v>
      </c>
      <c r="T44" s="904" t="e">
        <f t="shared" si="26"/>
        <v>#DIV/0!</v>
      </c>
      <c r="AA44" s="476"/>
    </row>
    <row r="45" spans="1:39" ht="9.75" customHeight="1">
      <c r="A45" s="535" t="s">
        <v>292</v>
      </c>
      <c r="B45" s="2435">
        <f>AE13</f>
        <v>48.164999999999999</v>
      </c>
      <c r="C45" s="2436"/>
      <c r="D45" s="610">
        <f>B45*100%</f>
        <v>48.164999999999999</v>
      </c>
      <c r="E45" s="610">
        <f>B45-D45</f>
        <v>0</v>
      </c>
      <c r="F45" s="610"/>
      <c r="G45" s="600"/>
      <c r="H45" s="600"/>
      <c r="I45" s="600"/>
      <c r="J45" s="600"/>
      <c r="K45" s="601">
        <f>SUM(D45:J45)</f>
        <v>48.164999999999999</v>
      </c>
      <c r="L45" s="600"/>
      <c r="M45" s="600"/>
      <c r="N45" s="600"/>
      <c r="O45" s="602"/>
      <c r="P45" s="600"/>
      <c r="Q45" s="603">
        <f>H85</f>
        <v>505.73250000000002</v>
      </c>
      <c r="R45" s="603">
        <f>I83</f>
        <v>668.482035</v>
      </c>
      <c r="S45" s="604"/>
      <c r="T45" s="605">
        <f>R45/Q45*10</f>
        <v>13.218095238095238</v>
      </c>
      <c r="V45" s="472"/>
      <c r="W45" s="472"/>
      <c r="X45" s="472"/>
      <c r="Z45" s="472"/>
      <c r="AA45" s="476"/>
      <c r="AC45" s="472"/>
      <c r="AD45" s="472"/>
      <c r="AE45" s="472"/>
      <c r="AF45" s="472"/>
      <c r="AG45" s="472"/>
      <c r="AH45" s="472"/>
      <c r="AI45" s="472"/>
      <c r="AJ45" s="472"/>
      <c r="AK45" s="472"/>
      <c r="AL45" s="472"/>
      <c r="AM45" s="472"/>
    </row>
    <row r="46" spans="1:39" ht="10.5" customHeight="1" outlineLevel="1">
      <c r="A46" s="543" t="s">
        <v>16</v>
      </c>
      <c r="B46" s="2435">
        <f>K46+L46+M46</f>
        <v>79.070999999999998</v>
      </c>
      <c r="C46" s="2436"/>
      <c r="D46" s="2167">
        <v>34.133000000000003</v>
      </c>
      <c r="E46" s="2167">
        <v>44.87</v>
      </c>
      <c r="F46" s="607"/>
      <c r="G46" s="606"/>
      <c r="H46" s="607"/>
      <c r="I46" s="595"/>
      <c r="J46" s="608"/>
      <c r="K46" s="601">
        <f>SUM(D46:J46)</f>
        <v>79.003</v>
      </c>
      <c r="L46" s="595"/>
      <c r="M46" s="1790">
        <v>6.8000000000000005E-2</v>
      </c>
      <c r="N46" s="595"/>
      <c r="O46" s="609"/>
      <c r="P46" s="595"/>
      <c r="Q46" s="603"/>
      <c r="R46" s="603">
        <f>I106</f>
        <v>1403.3390399999998</v>
      </c>
      <c r="S46" s="608"/>
      <c r="T46" s="605" t="e">
        <f>R46/Q46*10</f>
        <v>#DIV/0!</v>
      </c>
      <c r="V46" s="472"/>
      <c r="W46" s="472"/>
      <c r="X46" s="472"/>
      <c r="Z46" s="472"/>
      <c r="AA46" s="476"/>
      <c r="AC46" s="472"/>
      <c r="AD46" s="472"/>
      <c r="AE46" s="472"/>
      <c r="AF46" s="472"/>
      <c r="AG46" s="472"/>
      <c r="AH46" s="472"/>
      <c r="AI46" s="472"/>
      <c r="AJ46" s="472"/>
      <c r="AK46" s="472"/>
      <c r="AL46" s="472"/>
      <c r="AM46" s="472"/>
    </row>
    <row r="47" spans="1:39" s="522" customFormat="1" ht="11.25" customHeight="1" outlineLevel="1">
      <c r="A47" s="547" t="s">
        <v>17</v>
      </c>
      <c r="B47" s="2437">
        <f>B46-B45</f>
        <v>30.905999999999999</v>
      </c>
      <c r="C47" s="2438"/>
      <c r="D47" s="904">
        <f t="shared" ref="D47:T47" si="27">D46-D45</f>
        <v>-14.031999999999996</v>
      </c>
      <c r="E47" s="904">
        <f t="shared" si="27"/>
        <v>44.87</v>
      </c>
      <c r="F47" s="904">
        <f t="shared" si="27"/>
        <v>0</v>
      </c>
      <c r="G47" s="904">
        <f t="shared" si="27"/>
        <v>0</v>
      </c>
      <c r="H47" s="904">
        <f t="shared" si="27"/>
        <v>0</v>
      </c>
      <c r="I47" s="904">
        <f t="shared" si="27"/>
        <v>0</v>
      </c>
      <c r="J47" s="904">
        <f t="shared" si="27"/>
        <v>0</v>
      </c>
      <c r="K47" s="904">
        <f t="shared" si="27"/>
        <v>30.838000000000001</v>
      </c>
      <c r="L47" s="904">
        <f t="shared" si="27"/>
        <v>0</v>
      </c>
      <c r="M47" s="904">
        <f t="shared" si="27"/>
        <v>6.8000000000000005E-2</v>
      </c>
      <c r="N47" s="904">
        <f t="shared" si="27"/>
        <v>0</v>
      </c>
      <c r="O47" s="904">
        <f t="shared" si="27"/>
        <v>0</v>
      </c>
      <c r="P47" s="904">
        <f t="shared" si="27"/>
        <v>0</v>
      </c>
      <c r="Q47" s="904">
        <f t="shared" si="27"/>
        <v>-505.73250000000002</v>
      </c>
      <c r="R47" s="904">
        <f t="shared" si="27"/>
        <v>734.85700499999984</v>
      </c>
      <c r="S47" s="904">
        <f t="shared" si="27"/>
        <v>0</v>
      </c>
      <c r="T47" s="904" t="e">
        <f t="shared" si="27"/>
        <v>#DIV/0!</v>
      </c>
      <c r="AA47" s="476"/>
    </row>
    <row r="48" spans="1:39" ht="9.75" customHeight="1">
      <c r="A48" s="535" t="s">
        <v>630</v>
      </c>
      <c r="B48" s="2435">
        <f>AE16</f>
        <v>121.23887600000002</v>
      </c>
      <c r="C48" s="2436"/>
      <c r="D48" s="610">
        <f>B48*99%</f>
        <v>120.02648724000002</v>
      </c>
      <c r="E48" s="610">
        <f>B48-D48</f>
        <v>1.2123887599999961</v>
      </c>
      <c r="F48" s="610"/>
      <c r="G48" s="610"/>
      <c r="H48" s="610"/>
      <c r="I48" s="610"/>
      <c r="J48" s="610"/>
      <c r="K48" s="601">
        <f>SUM(D48:J48)</f>
        <v>121.23887600000002</v>
      </c>
      <c r="L48" s="600"/>
      <c r="M48" s="600"/>
      <c r="N48" s="600"/>
      <c r="O48" s="602"/>
      <c r="P48" s="600"/>
      <c r="Q48" s="603">
        <f>J85</f>
        <v>1273.2506757520002</v>
      </c>
      <c r="R48" s="603">
        <f>K83</f>
        <v>1690.2590640865603</v>
      </c>
      <c r="S48" s="605">
        <f>Q48/(L16-T16)/10</f>
        <v>7.8065645355732682</v>
      </c>
      <c r="T48" s="605">
        <f>R48/Q48*10</f>
        <v>13.27514759093506</v>
      </c>
      <c r="U48" s="476"/>
      <c r="V48" s="476"/>
      <c r="W48" s="476"/>
      <c r="X48" s="476"/>
      <c r="Z48" s="472"/>
      <c r="AA48" s="476"/>
      <c r="AC48" s="472"/>
      <c r="AD48" s="472"/>
      <c r="AE48" s="472"/>
      <c r="AF48" s="472"/>
      <c r="AG48" s="472"/>
      <c r="AH48" s="472"/>
      <c r="AI48" s="472"/>
      <c r="AJ48" s="472"/>
      <c r="AK48" s="472"/>
      <c r="AL48" s="472"/>
      <c r="AM48" s="472"/>
    </row>
    <row r="49" spans="1:39" ht="10.5" customHeight="1" outlineLevel="1">
      <c r="A49" s="543" t="s">
        <v>16</v>
      </c>
      <c r="B49" s="2435">
        <f>K49+L49+M49</f>
        <v>194.21100000000001</v>
      </c>
      <c r="C49" s="2439"/>
      <c r="D49" s="2167">
        <v>116.105</v>
      </c>
      <c r="E49" s="2148">
        <v>28.106000000000002</v>
      </c>
      <c r="F49" s="607"/>
      <c r="G49" s="606"/>
      <c r="H49" s="607"/>
      <c r="I49" s="2148">
        <v>50</v>
      </c>
      <c r="J49" s="608"/>
      <c r="K49" s="601">
        <f>SUM(D49:J49)</f>
        <v>194.21100000000001</v>
      </c>
      <c r="L49" s="595"/>
      <c r="M49" s="608"/>
      <c r="N49" s="595"/>
      <c r="O49" s="609"/>
      <c r="P49" s="595"/>
      <c r="Q49" s="603"/>
      <c r="R49" s="603">
        <f>K106</f>
        <v>3036.1344899999995</v>
      </c>
      <c r="S49" s="605">
        <f>Q49/(L17-T17)/10</f>
        <v>0</v>
      </c>
      <c r="T49" s="605" t="e">
        <f>R49/Q49*10</f>
        <v>#DIV/0!</v>
      </c>
      <c r="V49" s="472"/>
      <c r="W49" s="472"/>
      <c r="X49" s="472"/>
      <c r="Z49" s="472"/>
      <c r="AA49" s="476"/>
      <c r="AC49" s="472"/>
      <c r="AD49" s="472"/>
      <c r="AE49" s="472"/>
      <c r="AF49" s="472"/>
      <c r="AG49" s="472"/>
      <c r="AH49" s="472"/>
      <c r="AI49" s="472"/>
      <c r="AJ49" s="472"/>
      <c r="AK49" s="472"/>
      <c r="AL49" s="472"/>
      <c r="AM49" s="472"/>
    </row>
    <row r="50" spans="1:39" s="522" customFormat="1" ht="11.25" customHeight="1" outlineLevel="1">
      <c r="A50" s="547" t="s">
        <v>17</v>
      </c>
      <c r="B50" s="2437">
        <f>B49-B48</f>
        <v>72.972123999999994</v>
      </c>
      <c r="C50" s="2438"/>
      <c r="D50" s="904">
        <f t="shared" ref="D50:T50" si="28">D49-D48</f>
        <v>-3.9214872400000189</v>
      </c>
      <c r="E50" s="904">
        <f t="shared" si="28"/>
        <v>26.893611240000006</v>
      </c>
      <c r="F50" s="904">
        <f t="shared" si="28"/>
        <v>0</v>
      </c>
      <c r="G50" s="904">
        <f t="shared" si="28"/>
        <v>0</v>
      </c>
      <c r="H50" s="904">
        <f t="shared" si="28"/>
        <v>0</v>
      </c>
      <c r="I50" s="904">
        <f t="shared" si="28"/>
        <v>50</v>
      </c>
      <c r="J50" s="904">
        <f t="shared" si="28"/>
        <v>0</v>
      </c>
      <c r="K50" s="904">
        <f t="shared" si="28"/>
        <v>72.972123999999994</v>
      </c>
      <c r="L50" s="904">
        <f t="shared" si="28"/>
        <v>0</v>
      </c>
      <c r="M50" s="904">
        <f t="shared" si="28"/>
        <v>0</v>
      </c>
      <c r="N50" s="904">
        <f t="shared" si="28"/>
        <v>0</v>
      </c>
      <c r="O50" s="904">
        <f t="shared" si="28"/>
        <v>0</v>
      </c>
      <c r="P50" s="904">
        <f t="shared" si="28"/>
        <v>0</v>
      </c>
      <c r="Q50" s="904">
        <f t="shared" si="28"/>
        <v>-1273.2506757520002</v>
      </c>
      <c r="R50" s="904">
        <f t="shared" si="28"/>
        <v>1345.8754259134391</v>
      </c>
      <c r="S50" s="904">
        <f t="shared" si="28"/>
        <v>-7.8065645355732682</v>
      </c>
      <c r="T50" s="904" t="e">
        <f t="shared" si="28"/>
        <v>#DIV/0!</v>
      </c>
      <c r="AA50" s="476"/>
    </row>
    <row r="51" spans="1:39" ht="11.25" customHeight="1">
      <c r="A51" s="535" t="s">
        <v>322</v>
      </c>
      <c r="B51" s="2435">
        <f>AE19</f>
        <v>18.156633000000003</v>
      </c>
      <c r="C51" s="2436"/>
      <c r="D51" s="600"/>
      <c r="E51" s="600"/>
      <c r="F51" s="600">
        <f>B51</f>
        <v>18.156633000000003</v>
      </c>
      <c r="G51" s="600"/>
      <c r="H51" s="600"/>
      <c r="I51" s="600"/>
      <c r="J51" s="600"/>
      <c r="K51" s="601">
        <f>SUM(D51:J51)</f>
        <v>18.156633000000003</v>
      </c>
      <c r="L51" s="600"/>
      <c r="M51" s="600"/>
      <c r="N51" s="600"/>
      <c r="O51" s="602"/>
      <c r="P51" s="600"/>
      <c r="Q51" s="603">
        <f>L85</f>
        <v>170.67235020000001</v>
      </c>
      <c r="R51" s="603">
        <f>M83</f>
        <v>763.23222478800005</v>
      </c>
      <c r="S51" s="605">
        <f>Q51/(L19-T19)/10</f>
        <v>0.15449292421831295</v>
      </c>
      <c r="T51" s="605">
        <f>R51/Q51*10</f>
        <v>44.719148936170214</v>
      </c>
      <c r="U51" s="476"/>
      <c r="V51" s="476"/>
      <c r="W51" s="476"/>
      <c r="X51" s="476"/>
      <c r="Z51" s="472"/>
      <c r="AA51" s="476"/>
      <c r="AC51" s="472"/>
      <c r="AD51" s="472"/>
      <c r="AE51" s="472"/>
      <c r="AF51" s="472"/>
      <c r="AG51" s="472"/>
      <c r="AH51" s="472"/>
      <c r="AI51" s="472"/>
      <c r="AJ51" s="472"/>
      <c r="AK51" s="472"/>
      <c r="AL51" s="472"/>
      <c r="AM51" s="472"/>
    </row>
    <row r="52" spans="1:39" ht="10.5" customHeight="1" outlineLevel="1">
      <c r="A52" s="543" t="s">
        <v>16</v>
      </c>
      <c r="B52" s="2435">
        <f>K52+L52+M52</f>
        <v>16.040999999999997</v>
      </c>
      <c r="C52" s="2436"/>
      <c r="D52" s="606"/>
      <c r="E52" s="607"/>
      <c r="F52" s="2167">
        <v>16.015999999999998</v>
      </c>
      <c r="G52" s="606"/>
      <c r="H52" s="607"/>
      <c r="I52" s="595"/>
      <c r="J52" s="608"/>
      <c r="K52" s="601">
        <f>SUM(D52:J52)</f>
        <v>16.015999999999998</v>
      </c>
      <c r="L52" s="2167">
        <v>2.5000000000000001E-2</v>
      </c>
      <c r="M52" s="608"/>
      <c r="N52" s="595"/>
      <c r="O52" s="1790">
        <v>0.38500000000000001</v>
      </c>
      <c r="P52" s="595"/>
      <c r="Q52" s="603"/>
      <c r="R52" s="603">
        <f>M106</f>
        <v>724.72799999999995</v>
      </c>
      <c r="S52" s="605">
        <f>Q52/(L20-T20)/10</f>
        <v>0</v>
      </c>
      <c r="T52" s="605" t="e">
        <f>R52/Q52*10</f>
        <v>#DIV/0!</v>
      </c>
      <c r="V52" s="472"/>
      <c r="W52" s="472"/>
      <c r="X52" s="472"/>
      <c r="Z52" s="472"/>
      <c r="AA52" s="476"/>
      <c r="AC52" s="472"/>
      <c r="AD52" s="472"/>
      <c r="AE52" s="472"/>
      <c r="AF52" s="472"/>
      <c r="AG52" s="472"/>
      <c r="AH52" s="472"/>
      <c r="AI52" s="472"/>
      <c r="AJ52" s="472"/>
      <c r="AK52" s="472"/>
      <c r="AL52" s="472"/>
      <c r="AM52" s="472"/>
    </row>
    <row r="53" spans="1:39" s="522" customFormat="1" ht="11.25" customHeight="1" outlineLevel="1">
      <c r="A53" s="547" t="s">
        <v>17</v>
      </c>
      <c r="B53" s="2437">
        <f>B52-B51</f>
        <v>-2.1156330000000061</v>
      </c>
      <c r="C53" s="2438"/>
      <c r="D53" s="904">
        <f t="shared" ref="D53:T53" si="29">D52-D51</f>
        <v>0</v>
      </c>
      <c r="E53" s="904">
        <f t="shared" si="29"/>
        <v>0</v>
      </c>
      <c r="F53" s="904">
        <f t="shared" si="29"/>
        <v>-2.1406330000000047</v>
      </c>
      <c r="G53" s="904">
        <f t="shared" si="29"/>
        <v>0</v>
      </c>
      <c r="H53" s="904">
        <f t="shared" si="29"/>
        <v>0</v>
      </c>
      <c r="I53" s="904">
        <f t="shared" si="29"/>
        <v>0</v>
      </c>
      <c r="J53" s="904">
        <f t="shared" si="29"/>
        <v>0</v>
      </c>
      <c r="K53" s="904">
        <f t="shared" si="29"/>
        <v>-2.1406330000000047</v>
      </c>
      <c r="L53" s="904"/>
      <c r="M53" s="904">
        <f t="shared" si="29"/>
        <v>0</v>
      </c>
      <c r="N53" s="904">
        <f t="shared" si="29"/>
        <v>0</v>
      </c>
      <c r="O53" s="904">
        <f t="shared" si="29"/>
        <v>0.38500000000000001</v>
      </c>
      <c r="P53" s="904">
        <f t="shared" si="29"/>
        <v>0</v>
      </c>
      <c r="Q53" s="904">
        <f t="shared" si="29"/>
        <v>-170.67235020000001</v>
      </c>
      <c r="R53" s="904">
        <f t="shared" si="29"/>
        <v>-38.504224788000101</v>
      </c>
      <c r="S53" s="904">
        <f t="shared" si="29"/>
        <v>-0.15449292421831295</v>
      </c>
      <c r="T53" s="904" t="e">
        <f t="shared" si="29"/>
        <v>#DIV/0!</v>
      </c>
      <c r="AA53" s="476"/>
    </row>
    <row r="54" spans="1:39" ht="11.25" customHeight="1">
      <c r="A54" s="535" t="s">
        <v>323</v>
      </c>
      <c r="B54" s="2435">
        <f>AE22</f>
        <v>958.44044999999994</v>
      </c>
      <c r="C54" s="2436"/>
      <c r="D54" s="600"/>
      <c r="E54" s="600"/>
      <c r="F54" s="600">
        <f>B54*9%</f>
        <v>86.259640499999989</v>
      </c>
      <c r="G54" s="600">
        <f>B54*47%</f>
        <v>450.46701149999996</v>
      </c>
      <c r="H54" s="600">
        <f>B54-F54-G54</f>
        <v>421.71379799999994</v>
      </c>
      <c r="I54" s="600"/>
      <c r="J54" s="600"/>
      <c r="K54" s="601">
        <f>SUM(D54:J54)</f>
        <v>958.44044999999983</v>
      </c>
      <c r="L54" s="600"/>
      <c r="M54" s="600"/>
      <c r="N54" s="600"/>
      <c r="O54" s="602"/>
      <c r="P54" s="600"/>
      <c r="Q54" s="603">
        <f>N85</f>
        <v>9816.3470889</v>
      </c>
      <c r="R54" s="603">
        <f>O83</f>
        <v>24495.552657773998</v>
      </c>
      <c r="S54" s="605">
        <f>Q54/(L22-T22)/10</f>
        <v>1.9872819442404519</v>
      </c>
      <c r="T54" s="605">
        <f>R54/Q54*10</f>
        <v>24.95383714118336</v>
      </c>
      <c r="U54" s="476"/>
      <c r="V54" s="476"/>
      <c r="W54" s="476"/>
      <c r="X54" s="476"/>
      <c r="Y54" s="476"/>
      <c r="Z54" s="476"/>
      <c r="AA54" s="476"/>
      <c r="AB54" s="476"/>
      <c r="AC54" s="476"/>
      <c r="AD54" s="476"/>
      <c r="AE54" s="476"/>
      <c r="AF54" s="476"/>
      <c r="AG54" s="476"/>
      <c r="AH54" s="472"/>
      <c r="AI54" s="472"/>
      <c r="AJ54" s="472"/>
      <c r="AK54" s="472"/>
      <c r="AL54" s="472"/>
      <c r="AM54" s="472"/>
    </row>
    <row r="55" spans="1:39" ht="10.5" customHeight="1" outlineLevel="1">
      <c r="A55" s="543" t="s">
        <v>16</v>
      </c>
      <c r="B55" s="2435">
        <f>K55+L55+M55</f>
        <v>964.64499999999998</v>
      </c>
      <c r="C55" s="2436"/>
      <c r="D55" s="606"/>
      <c r="E55" s="607"/>
      <c r="F55" s="2167">
        <v>15.75</v>
      </c>
      <c r="G55" s="2169">
        <v>443.5</v>
      </c>
      <c r="H55" s="2167">
        <v>505.39499999999998</v>
      </c>
      <c r="I55" s="595"/>
      <c r="J55" s="608"/>
      <c r="K55" s="601">
        <f>SUM(D55:J55)</f>
        <v>964.64499999999998</v>
      </c>
      <c r="L55" s="595"/>
      <c r="M55" s="608"/>
      <c r="N55" s="595"/>
      <c r="O55" s="609"/>
      <c r="P55" s="595"/>
      <c r="Q55" s="603"/>
      <c r="R55" s="603">
        <f>O106</f>
        <v>21701.834510000001</v>
      </c>
      <c r="S55" s="605">
        <f>Q55/(L23-T23)/10</f>
        <v>0</v>
      </c>
      <c r="T55" s="605" t="e">
        <f>R55/Q55*10</f>
        <v>#DIV/0!</v>
      </c>
      <c r="V55" s="472"/>
      <c r="W55" s="472"/>
      <c r="X55" s="472"/>
      <c r="Z55" s="472"/>
      <c r="AA55" s="476"/>
      <c r="AC55" s="472"/>
      <c r="AD55" s="472"/>
      <c r="AE55" s="472"/>
      <c r="AF55" s="472"/>
      <c r="AG55" s="472"/>
      <c r="AH55" s="472"/>
      <c r="AI55" s="472"/>
      <c r="AJ55" s="472"/>
      <c r="AK55" s="472"/>
      <c r="AL55" s="472"/>
      <c r="AM55" s="472"/>
    </row>
    <row r="56" spans="1:39" s="522" customFormat="1" ht="11.25" customHeight="1" outlineLevel="1">
      <c r="A56" s="547" t="s">
        <v>17</v>
      </c>
      <c r="B56" s="2437">
        <f>B55-B54</f>
        <v>6.2045500000000402</v>
      </c>
      <c r="C56" s="2438"/>
      <c r="D56" s="904">
        <f t="shared" ref="D56:T56" si="30">D55-D54</f>
        <v>0</v>
      </c>
      <c r="E56" s="904">
        <f t="shared" si="30"/>
        <v>0</v>
      </c>
      <c r="F56" s="904">
        <f t="shared" si="30"/>
        <v>-70.509640499999989</v>
      </c>
      <c r="G56" s="904">
        <f t="shared" si="30"/>
        <v>-6.9670114999999555</v>
      </c>
      <c r="H56" s="904">
        <f t="shared" si="30"/>
        <v>83.681202000000042</v>
      </c>
      <c r="I56" s="904">
        <f t="shared" si="30"/>
        <v>0</v>
      </c>
      <c r="J56" s="904">
        <f t="shared" si="30"/>
        <v>0</v>
      </c>
      <c r="K56" s="904">
        <f t="shared" si="30"/>
        <v>6.2045500000001539</v>
      </c>
      <c r="L56" s="904">
        <f t="shared" si="30"/>
        <v>0</v>
      </c>
      <c r="M56" s="904">
        <f t="shared" si="30"/>
        <v>0</v>
      </c>
      <c r="N56" s="904">
        <f t="shared" si="30"/>
        <v>0</v>
      </c>
      <c r="O56" s="904">
        <f t="shared" si="30"/>
        <v>0</v>
      </c>
      <c r="P56" s="904">
        <f t="shared" si="30"/>
        <v>0</v>
      </c>
      <c r="Q56" s="904">
        <f t="shared" si="30"/>
        <v>-9816.3470889</v>
      </c>
      <c r="R56" s="904">
        <f t="shared" si="30"/>
        <v>-2793.7181477739978</v>
      </c>
      <c r="S56" s="904">
        <f t="shared" si="30"/>
        <v>-1.9872819442404519</v>
      </c>
      <c r="T56" s="904" t="e">
        <f t="shared" si="30"/>
        <v>#DIV/0!</v>
      </c>
      <c r="AA56" s="476"/>
    </row>
    <row r="57" spans="1:39" ht="11.25" customHeight="1">
      <c r="A57" s="535" t="s">
        <v>294</v>
      </c>
      <c r="B57" s="2341">
        <f>AE25</f>
        <v>3812.0269410000001</v>
      </c>
      <c r="C57" s="2342"/>
      <c r="D57" s="600"/>
      <c r="E57" s="600"/>
      <c r="F57" s="600"/>
      <c r="G57" s="600"/>
      <c r="H57" s="591">
        <f>B57*39%</f>
        <v>1486.6905069900001</v>
      </c>
      <c r="I57" s="591">
        <f>B57*61%</f>
        <v>2325.3364340100002</v>
      </c>
      <c r="J57" s="512"/>
      <c r="K57" s="1233">
        <f>SUM(D57:J57)</f>
        <v>3812.0269410000001</v>
      </c>
      <c r="L57" s="600"/>
      <c r="M57" s="600"/>
      <c r="N57" s="600"/>
      <c r="O57" s="602"/>
      <c r="P57" s="600"/>
      <c r="Q57" s="602">
        <f>P85</f>
        <v>42313.499045100005</v>
      </c>
      <c r="R57" s="1353">
        <f>Q83</f>
        <v>67236.149982663905</v>
      </c>
      <c r="S57" s="605">
        <f>Q57/(L25-T25)/10</f>
        <v>3.308543518730938</v>
      </c>
      <c r="T57" s="605">
        <f>R57/Q57*10</f>
        <v>15.89</v>
      </c>
      <c r="U57" s="476"/>
      <c r="V57" s="476"/>
      <c r="W57" s="476"/>
      <c r="X57" s="476"/>
      <c r="Y57" s="476"/>
      <c r="Z57" s="476"/>
      <c r="AA57" s="476"/>
      <c r="AB57" s="476"/>
      <c r="AC57" s="476"/>
      <c r="AD57" s="476"/>
      <c r="AE57" s="476"/>
      <c r="AF57" s="476"/>
      <c r="AG57" s="476"/>
      <c r="AH57" s="472"/>
      <c r="AI57" s="472"/>
      <c r="AJ57" s="472"/>
      <c r="AK57" s="472"/>
      <c r="AL57" s="472"/>
      <c r="AM57" s="472"/>
    </row>
    <row r="58" spans="1:39" ht="10.5" customHeight="1" outlineLevel="1">
      <c r="A58" s="543" t="s">
        <v>16</v>
      </c>
      <c r="B58" s="2435">
        <f>K58+L58+M58</f>
        <v>3993.8509999999997</v>
      </c>
      <c r="C58" s="2436"/>
      <c r="D58" s="606"/>
      <c r="E58" s="607"/>
      <c r="F58" s="607"/>
      <c r="G58" s="606"/>
      <c r="H58" s="2167">
        <v>916.8</v>
      </c>
      <c r="I58" s="1790">
        <v>3077.0509999999999</v>
      </c>
      <c r="J58" s="608"/>
      <c r="K58" s="601">
        <f>SUM(D58:J58)</f>
        <v>3993.8509999999997</v>
      </c>
      <c r="L58" s="595"/>
      <c r="M58" s="608"/>
      <c r="N58" s="595"/>
      <c r="O58" s="609"/>
      <c r="P58" s="595"/>
      <c r="Q58" s="602"/>
      <c r="R58" s="1353">
        <f>Q106</f>
        <v>63121.354509999997</v>
      </c>
      <c r="S58" s="605">
        <f>Q58/(L26-T26)/10</f>
        <v>0</v>
      </c>
      <c r="T58" s="605" t="e">
        <f>R58/Q58*10</f>
        <v>#DIV/0!</v>
      </c>
      <c r="V58" s="472"/>
      <c r="W58" s="472"/>
      <c r="X58" s="472"/>
      <c r="Z58" s="472"/>
      <c r="AA58" s="476"/>
      <c r="AC58" s="472"/>
      <c r="AD58" s="472"/>
      <c r="AE58" s="472"/>
      <c r="AF58" s="472"/>
      <c r="AG58" s="472"/>
      <c r="AH58" s="472"/>
      <c r="AI58" s="472"/>
      <c r="AJ58" s="472"/>
      <c r="AK58" s="472"/>
      <c r="AL58" s="472"/>
      <c r="AM58" s="472"/>
    </row>
    <row r="59" spans="1:39" s="522" customFormat="1" ht="11.25" customHeight="1" outlineLevel="1">
      <c r="A59" s="547" t="s">
        <v>17</v>
      </c>
      <c r="B59" s="2437">
        <f>B58-B57</f>
        <v>181.82405899999958</v>
      </c>
      <c r="C59" s="2438"/>
      <c r="D59" s="904">
        <f t="shared" ref="D59:T59" si="31">D58-D57</f>
        <v>0</v>
      </c>
      <c r="E59" s="904">
        <f t="shared" si="31"/>
        <v>0</v>
      </c>
      <c r="F59" s="904">
        <f t="shared" si="31"/>
        <v>0</v>
      </c>
      <c r="G59" s="904">
        <f t="shared" si="31"/>
        <v>0</v>
      </c>
      <c r="H59" s="904">
        <f>H58-H57</f>
        <v>-569.89050699000018</v>
      </c>
      <c r="I59" s="904">
        <f>I58-I57</f>
        <v>751.71456598999976</v>
      </c>
      <c r="J59" s="904">
        <f>J58-J57</f>
        <v>0</v>
      </c>
      <c r="K59" s="904">
        <f t="shared" si="31"/>
        <v>181.82405899999958</v>
      </c>
      <c r="L59" s="904">
        <f t="shared" si="31"/>
        <v>0</v>
      </c>
      <c r="M59" s="904">
        <f t="shared" si="31"/>
        <v>0</v>
      </c>
      <c r="N59" s="904">
        <f t="shared" si="31"/>
        <v>0</v>
      </c>
      <c r="O59" s="904">
        <f t="shared" si="31"/>
        <v>0</v>
      </c>
      <c r="P59" s="904">
        <f t="shared" si="31"/>
        <v>0</v>
      </c>
      <c r="Q59" s="1354">
        <f t="shared" si="31"/>
        <v>-42313.499045100005</v>
      </c>
      <c r="R59" s="1355">
        <f t="shared" si="31"/>
        <v>-4114.7954726639073</v>
      </c>
      <c r="S59" s="904">
        <f t="shared" si="31"/>
        <v>-3.308543518730938</v>
      </c>
      <c r="T59" s="904" t="e">
        <f t="shared" si="31"/>
        <v>#DIV/0!</v>
      </c>
      <c r="AA59" s="476"/>
    </row>
    <row r="60" spans="1:39" s="480" customFormat="1" ht="11.25" customHeight="1">
      <c r="A60" s="548" t="s">
        <v>293</v>
      </c>
      <c r="B60" s="2345">
        <f>SUM(B39,B42,B45,B48,B51,B54,B57)</f>
        <v>5593.5002999999997</v>
      </c>
      <c r="C60" s="2346"/>
      <c r="D60" s="611">
        <f>D39+D42+D45+D48+D51+D54+D57</f>
        <v>624.09393424000007</v>
      </c>
      <c r="E60" s="611">
        <f t="shared" ref="E60:P60" si="32">E39+E42+E45+E48+E51+E54+E57</f>
        <v>180.78234176000001</v>
      </c>
      <c r="F60" s="611">
        <f>F39+F42+F45+F48+F51+F54+F57</f>
        <v>104.41627349999999</v>
      </c>
      <c r="G60" s="611">
        <f t="shared" si="32"/>
        <v>450.46701149999996</v>
      </c>
      <c r="H60" s="611">
        <f>H39+H42+H45+H48+H51+H54+H57</f>
        <v>1908.4043049900001</v>
      </c>
      <c r="I60" s="611">
        <f>I39+I42+I45+I48+I51+I54+I57</f>
        <v>2325.3364340100002</v>
      </c>
      <c r="J60" s="1234">
        <f>J39+J42+J45+J48+J51+J54+J57</f>
        <v>0</v>
      </c>
      <c r="K60" s="611">
        <f t="shared" si="32"/>
        <v>5593.5002999999997</v>
      </c>
      <c r="L60" s="611">
        <f t="shared" si="32"/>
        <v>0</v>
      </c>
      <c r="M60" s="611">
        <f t="shared" si="32"/>
        <v>0</v>
      </c>
      <c r="N60" s="611">
        <f t="shared" si="32"/>
        <v>0</v>
      </c>
      <c r="O60" s="611">
        <f t="shared" si="32"/>
        <v>0</v>
      </c>
      <c r="P60" s="611">
        <f t="shared" si="32"/>
        <v>0</v>
      </c>
      <c r="Q60" s="1356">
        <f>Q39+Q42+Q45+Q48+Q51+Q54+Q57</f>
        <v>60787.875850552009</v>
      </c>
      <c r="R60" s="1357">
        <f>R39+R42+R45+R48+R51+R54+R57</f>
        <v>104796.78702988046</v>
      </c>
      <c r="S60" s="612">
        <f>Q60/(E31+L31-T31+T7+T10)/10</f>
        <v>3.1130544989499418</v>
      </c>
      <c r="T60" s="605">
        <f>R60/Q60*10</f>
        <v>17.239751441146765</v>
      </c>
      <c r="V60" s="476"/>
      <c r="W60" s="476"/>
      <c r="X60" s="476"/>
      <c r="Y60" s="476"/>
      <c r="Z60" s="476"/>
      <c r="AA60" s="476"/>
      <c r="AB60" s="476"/>
    </row>
    <row r="61" spans="1:39" ht="10.5" customHeight="1" outlineLevel="1">
      <c r="A61" s="543" t="s">
        <v>16</v>
      </c>
      <c r="B61" s="2441">
        <f>J61+K61+L61</f>
        <v>6056.7089999999998</v>
      </c>
      <c r="C61" s="2442"/>
      <c r="D61" s="549">
        <f>D40+D43+D46+D49+D52+D55+D58</f>
        <v>586.83999999999992</v>
      </c>
      <c r="E61" s="549">
        <f>E40+E43+E46+E49+E52+E55+E58</f>
        <v>444.697</v>
      </c>
      <c r="F61" s="549">
        <f t="shared" ref="F61:J61" si="33">F40+F43+F46+F49+F52+F55+F58</f>
        <v>31.765999999999998</v>
      </c>
      <c r="G61" s="549">
        <f t="shared" si="33"/>
        <v>443.5</v>
      </c>
      <c r="H61" s="549">
        <f t="shared" si="33"/>
        <v>1422.1949999999999</v>
      </c>
      <c r="I61" s="549">
        <f t="shared" si="33"/>
        <v>3127.0509999999999</v>
      </c>
      <c r="J61" s="549">
        <f t="shared" si="33"/>
        <v>0</v>
      </c>
      <c r="K61" s="549">
        <f>K40+K43+K46+K49+K52+K55+K58</f>
        <v>6056.049</v>
      </c>
      <c r="L61" s="549">
        <f t="shared" ref="L61:O61" si="34">M40+M43+M46+M49+M52+M55+M58</f>
        <v>0.65999999999999992</v>
      </c>
      <c r="M61" s="549">
        <f t="shared" si="34"/>
        <v>1.6E-2</v>
      </c>
      <c r="N61" s="549">
        <f t="shared" si="34"/>
        <v>0.38500000000000001</v>
      </c>
      <c r="O61" s="549">
        <f t="shared" si="34"/>
        <v>1.6E-2</v>
      </c>
      <c r="P61" s="549">
        <f>Q40+Q43+Q46+Q49+Q52+Q55+Q58</f>
        <v>0</v>
      </c>
      <c r="Q61" s="549">
        <f>R40+R43+R46+R49+R52+R55+R58</f>
        <v>104153.8811</v>
      </c>
      <c r="R61" s="1357">
        <f>R40+R43+R46+R49+R52+R55+R58</f>
        <v>104153.8811</v>
      </c>
      <c r="S61" s="542" t="e">
        <f>Q61/P61*10</f>
        <v>#DIV/0!</v>
      </c>
      <c r="T61" s="542">
        <f>R61/Q61*10</f>
        <v>10</v>
      </c>
      <c r="V61" s="472"/>
      <c r="W61" s="472"/>
      <c r="X61" s="472"/>
      <c r="Z61" s="472"/>
      <c r="AA61" s="476"/>
      <c r="AC61" s="472"/>
      <c r="AD61" s="472"/>
      <c r="AE61" s="472"/>
      <c r="AF61" s="472"/>
      <c r="AG61" s="472"/>
      <c r="AH61" s="472"/>
      <c r="AI61" s="472"/>
      <c r="AJ61" s="472"/>
      <c r="AK61" s="472"/>
      <c r="AL61" s="472"/>
      <c r="AM61" s="472"/>
    </row>
    <row r="62" spans="1:39" s="522" customFormat="1" ht="11.25" customHeight="1" outlineLevel="1">
      <c r="A62" s="547" t="s">
        <v>17</v>
      </c>
      <c r="B62" s="2351">
        <f>B61-B60</f>
        <v>463.20870000000014</v>
      </c>
      <c r="C62" s="2352"/>
      <c r="D62" s="905">
        <f>D61-D60</f>
        <v>-37.253934240000149</v>
      </c>
      <c r="E62" s="905">
        <f>E61-E60</f>
        <v>263.91465823999999</v>
      </c>
      <c r="F62" s="905">
        <f t="shared" ref="F62:T62" si="35">F61-G60</f>
        <v>-418.70101149999994</v>
      </c>
      <c r="G62" s="905">
        <f t="shared" si="35"/>
        <v>-1464.9043049900001</v>
      </c>
      <c r="H62" s="905">
        <f t="shared" si="35"/>
        <v>-903.14143401000024</v>
      </c>
      <c r="I62" s="905">
        <f t="shared" si="35"/>
        <v>3127.0509999999999</v>
      </c>
      <c r="J62" s="905">
        <f t="shared" si="35"/>
        <v>-5593.5002999999997</v>
      </c>
      <c r="K62" s="905">
        <f t="shared" si="35"/>
        <v>6056.049</v>
      </c>
      <c r="L62" s="905">
        <f t="shared" si="35"/>
        <v>0.65999999999999992</v>
      </c>
      <c r="M62" s="905">
        <f t="shared" si="35"/>
        <v>1.6E-2</v>
      </c>
      <c r="N62" s="905">
        <f t="shared" si="35"/>
        <v>0.38500000000000001</v>
      </c>
      <c r="O62" s="905">
        <f t="shared" si="35"/>
        <v>1.6E-2</v>
      </c>
      <c r="P62" s="905">
        <f t="shared" si="35"/>
        <v>-60787.875850552009</v>
      </c>
      <c r="Q62" s="905">
        <f t="shared" si="35"/>
        <v>-642.9059298804641</v>
      </c>
      <c r="R62" s="905">
        <f>R61-R60</f>
        <v>-642.9059298804641</v>
      </c>
      <c r="S62" s="905" t="e">
        <f t="shared" si="35"/>
        <v>#DIV/0!</v>
      </c>
      <c r="T62" s="905">
        <f t="shared" si="35"/>
        <v>10</v>
      </c>
      <c r="AA62" s="476"/>
    </row>
    <row r="63" spans="1:39" ht="7.5" customHeight="1">
      <c r="A63" s="476"/>
      <c r="B63" s="476"/>
      <c r="D63" s="476"/>
      <c r="E63" s="476"/>
      <c r="F63" s="476"/>
      <c r="G63" s="476"/>
      <c r="H63" s="476"/>
      <c r="I63" s="476"/>
      <c r="J63" s="476"/>
      <c r="K63" s="476"/>
      <c r="L63" s="476"/>
      <c r="M63" s="476"/>
      <c r="N63" s="473"/>
      <c r="O63" s="476"/>
      <c r="Q63" s="476"/>
      <c r="R63" s="476"/>
      <c r="S63" s="476"/>
      <c r="T63" s="476"/>
      <c r="U63" s="476"/>
      <c r="V63" s="476"/>
      <c r="W63" s="476"/>
      <c r="X63" s="476"/>
      <c r="Y63" s="476"/>
      <c r="Z63" s="476"/>
      <c r="AA63" s="476"/>
      <c r="AB63" s="476"/>
      <c r="AC63" s="476"/>
      <c r="AD63" s="476"/>
      <c r="AE63" s="476"/>
      <c r="AF63" s="476"/>
      <c r="AG63" s="476"/>
      <c r="AK63" s="472"/>
      <c r="AL63" s="472"/>
      <c r="AM63" s="472"/>
    </row>
    <row r="64" spans="1:39" s="476" customFormat="1" ht="9" customHeight="1">
      <c r="A64" s="476" t="s">
        <v>417</v>
      </c>
      <c r="C64" s="473"/>
      <c r="N64" s="473"/>
      <c r="P64" s="473"/>
    </row>
    <row r="65" spans="1:34" s="476" customFormat="1" ht="9.75" customHeight="1">
      <c r="A65" s="2353" t="s">
        <v>295</v>
      </c>
      <c r="B65" s="2354"/>
      <c r="C65" s="550"/>
      <c r="D65" s="2348" t="s">
        <v>349</v>
      </c>
      <c r="E65" s="2348"/>
      <c r="F65" s="2348" t="s">
        <v>415</v>
      </c>
      <c r="G65" s="2348"/>
      <c r="H65" s="2348" t="s">
        <v>416</v>
      </c>
      <c r="I65" s="2348"/>
      <c r="J65" s="2348" t="s">
        <v>352</v>
      </c>
      <c r="K65" s="2348"/>
      <c r="L65" s="2348" t="s">
        <v>411</v>
      </c>
      <c r="M65" s="2348"/>
      <c r="N65" s="2357" t="s">
        <v>412</v>
      </c>
      <c r="O65" s="2357"/>
      <c r="P65" s="2348" t="s">
        <v>294</v>
      </c>
      <c r="Q65" s="2348"/>
      <c r="R65" s="2348" t="s">
        <v>24</v>
      </c>
      <c r="S65" s="2348"/>
      <c r="T65" s="2377" t="s">
        <v>296</v>
      </c>
      <c r="U65" s="2377" t="s">
        <v>297</v>
      </c>
      <c r="V65" s="473"/>
      <c r="X65" s="473"/>
    </row>
    <row r="66" spans="1:34" s="476" customFormat="1" ht="9.75" customHeight="1">
      <c r="A66" s="2355"/>
      <c r="B66" s="2356"/>
      <c r="C66" s="535" t="s">
        <v>40</v>
      </c>
      <c r="D66" s="1607" t="s">
        <v>12</v>
      </c>
      <c r="E66" s="1607" t="s">
        <v>39</v>
      </c>
      <c r="F66" s="1607" t="s">
        <v>12</v>
      </c>
      <c r="G66" s="1607" t="s">
        <v>39</v>
      </c>
      <c r="H66" s="1607" t="s">
        <v>12</v>
      </c>
      <c r="I66" s="1607" t="s">
        <v>39</v>
      </c>
      <c r="J66" s="1607" t="s">
        <v>12</v>
      </c>
      <c r="K66" s="1607" t="s">
        <v>39</v>
      </c>
      <c r="L66" s="1607" t="s">
        <v>12</v>
      </c>
      <c r="M66" s="1607" t="s">
        <v>39</v>
      </c>
      <c r="N66" s="1607" t="s">
        <v>12</v>
      </c>
      <c r="O66" s="1607" t="s">
        <v>39</v>
      </c>
      <c r="P66" s="1607" t="s">
        <v>12</v>
      </c>
      <c r="Q66" s="1607" t="s">
        <v>39</v>
      </c>
      <c r="R66" s="1607" t="s">
        <v>12</v>
      </c>
      <c r="S66" s="1607" t="s">
        <v>39</v>
      </c>
      <c r="T66" s="2377"/>
      <c r="U66" s="2377"/>
      <c r="V66" s="473"/>
      <c r="X66" s="473"/>
      <c r="AC66" s="551"/>
      <c r="AD66" s="551"/>
      <c r="AE66" s="551"/>
      <c r="AF66" s="551"/>
      <c r="AG66" s="551"/>
      <c r="AH66" s="551"/>
    </row>
    <row r="67" spans="1:34" s="476" customFormat="1" ht="9.75" customHeight="1">
      <c r="A67" s="2432"/>
      <c r="B67" s="2433"/>
      <c r="C67" s="535" t="s">
        <v>289</v>
      </c>
      <c r="D67" s="536"/>
      <c r="E67" s="536"/>
      <c r="F67" s="536"/>
      <c r="G67" s="536"/>
      <c r="H67" s="535"/>
      <c r="I67" s="552"/>
      <c r="J67" s="536"/>
      <c r="K67" s="536"/>
      <c r="L67" s="536"/>
      <c r="M67" s="536"/>
      <c r="N67" s="535"/>
      <c r="O67" s="552"/>
      <c r="P67" s="536"/>
      <c r="Q67" s="536"/>
      <c r="R67" s="536"/>
      <c r="S67" s="536"/>
      <c r="T67" s="2377"/>
      <c r="U67" s="2377"/>
      <c r="V67" s="473"/>
      <c r="X67" s="473"/>
      <c r="AC67" s="551"/>
      <c r="AD67" s="551"/>
      <c r="AE67" s="551"/>
      <c r="AF67" s="551"/>
      <c r="AG67" s="551"/>
      <c r="AH67" s="551"/>
    </row>
    <row r="68" spans="1:34" s="551" customFormat="1" ht="9.75" customHeight="1" outlineLevel="1">
      <c r="A68" s="2358" t="s">
        <v>282</v>
      </c>
      <c r="B68" s="2359"/>
      <c r="C68" s="1358">
        <v>13879</v>
      </c>
      <c r="D68" s="553"/>
      <c r="E68" s="553">
        <f>C68*D68/1000</f>
        <v>0</v>
      </c>
      <c r="F68" s="553">
        <f>D42</f>
        <v>455.902447</v>
      </c>
      <c r="G68" s="553">
        <f>F68*C68/1000</f>
        <v>6327.4700619129999</v>
      </c>
      <c r="H68" s="554">
        <f>D45</f>
        <v>48.164999999999999</v>
      </c>
      <c r="I68" s="555">
        <f t="shared" ref="I68:I74" si="36">H68*C68/1000</f>
        <v>668.482035</v>
      </c>
      <c r="J68" s="553">
        <f>D48</f>
        <v>120.02648724000002</v>
      </c>
      <c r="K68" s="553">
        <f t="shared" ref="K68:K74" si="37">J68*C68/1000</f>
        <v>1665.8476164039605</v>
      </c>
      <c r="L68" s="553"/>
      <c r="M68" s="553">
        <f t="shared" ref="M68:M74" si="38">L68*C68/1000</f>
        <v>0</v>
      </c>
      <c r="N68" s="554"/>
      <c r="O68" s="555">
        <f t="shared" ref="O68:O74" si="39">N68*C68/1000</f>
        <v>0</v>
      </c>
      <c r="P68" s="553"/>
      <c r="Q68" s="553">
        <f t="shared" ref="Q68:Q74" si="40">P68*C68/1000</f>
        <v>0</v>
      </c>
      <c r="R68" s="553">
        <f t="shared" ref="R68:S74" si="41">D68+F68+H68+J68+L68+N68+P68</f>
        <v>624.09393424000007</v>
      </c>
      <c r="S68" s="553">
        <f t="shared" si="41"/>
        <v>8661.7997133169611</v>
      </c>
      <c r="T68" s="556">
        <v>1.05</v>
      </c>
      <c r="U68" s="554">
        <f>R68*T68*10</f>
        <v>6552.9863095200008</v>
      </c>
      <c r="V68" s="557"/>
      <c r="X68" s="557"/>
      <c r="AA68" s="476"/>
    </row>
    <row r="69" spans="1:34" s="551" customFormat="1" ht="9.75" customHeight="1" outlineLevel="1">
      <c r="A69" s="2358" t="s">
        <v>283</v>
      </c>
      <c r="B69" s="2359"/>
      <c r="C69" s="1358">
        <v>20135</v>
      </c>
      <c r="D69" s="558">
        <f>E39</f>
        <v>10.948499999999999</v>
      </c>
      <c r="E69" s="553">
        <f t="shared" ref="E69:E81" si="42">C69*D69/1000</f>
        <v>220.44804749999997</v>
      </c>
      <c r="F69" s="553">
        <f>E42</f>
        <v>168.62145300000003</v>
      </c>
      <c r="G69" s="553">
        <f t="shared" ref="G69:G81" si="43">F69*C69/1000</f>
        <v>3395.1929561550005</v>
      </c>
      <c r="H69" s="554">
        <f>E45</f>
        <v>0</v>
      </c>
      <c r="I69" s="555">
        <f>H69*C69/1000</f>
        <v>0</v>
      </c>
      <c r="J69" s="553">
        <f>E48</f>
        <v>1.2123887599999961</v>
      </c>
      <c r="K69" s="553">
        <f t="shared" si="37"/>
        <v>24.41144768259992</v>
      </c>
      <c r="L69" s="553"/>
      <c r="M69" s="553">
        <f t="shared" si="38"/>
        <v>0</v>
      </c>
      <c r="N69" s="554"/>
      <c r="O69" s="555">
        <f t="shared" si="39"/>
        <v>0</v>
      </c>
      <c r="P69" s="553"/>
      <c r="Q69" s="553">
        <f t="shared" si="40"/>
        <v>0</v>
      </c>
      <c r="R69" s="553">
        <f t="shared" si="41"/>
        <v>180.78234176000001</v>
      </c>
      <c r="S69" s="553">
        <f t="shared" si="41"/>
        <v>3640.0524513376004</v>
      </c>
      <c r="T69" s="556">
        <v>1.07</v>
      </c>
      <c r="U69" s="554">
        <f t="shared" ref="U69:U81" si="44">R69*T69*10</f>
        <v>1934.3710568320002</v>
      </c>
      <c r="V69" s="557"/>
      <c r="X69" s="557"/>
      <c r="AA69" s="476"/>
    </row>
    <row r="70" spans="1:34" s="551" customFormat="1" ht="9.75" customHeight="1" outlineLevel="1">
      <c r="A70" s="2358" t="s">
        <v>432</v>
      </c>
      <c r="B70" s="2359"/>
      <c r="C70" s="1359">
        <v>42036</v>
      </c>
      <c r="D70" s="558"/>
      <c r="E70" s="553">
        <f t="shared" si="42"/>
        <v>0</v>
      </c>
      <c r="F70" s="553"/>
      <c r="G70" s="553">
        <f t="shared" si="43"/>
        <v>0</v>
      </c>
      <c r="H70" s="554"/>
      <c r="I70" s="555">
        <f t="shared" si="36"/>
        <v>0</v>
      </c>
      <c r="J70" s="553"/>
      <c r="K70" s="553">
        <f t="shared" si="37"/>
        <v>0</v>
      </c>
      <c r="L70" s="553">
        <f>F51</f>
        <v>18.156633000000003</v>
      </c>
      <c r="M70" s="553">
        <f t="shared" si="38"/>
        <v>763.23222478800005</v>
      </c>
      <c r="N70" s="554">
        <f>F54</f>
        <v>86.259640499999989</v>
      </c>
      <c r="O70" s="555">
        <f t="shared" si="39"/>
        <v>3626.0102480579994</v>
      </c>
      <c r="P70" s="553"/>
      <c r="Q70" s="553">
        <f t="shared" si="40"/>
        <v>0</v>
      </c>
      <c r="R70" s="553">
        <f t="shared" si="41"/>
        <v>104.41627349999999</v>
      </c>
      <c r="S70" s="553">
        <f t="shared" si="41"/>
        <v>4389.2424728459991</v>
      </c>
      <c r="T70" s="556">
        <v>0.94</v>
      </c>
      <c r="U70" s="554">
        <f t="shared" si="44"/>
        <v>981.5129708999998</v>
      </c>
      <c r="V70" s="557"/>
      <c r="X70" s="557"/>
      <c r="AA70" s="476"/>
    </row>
    <row r="71" spans="1:34" s="551" customFormat="1" ht="9.75" customHeight="1" outlineLevel="1">
      <c r="A71" s="2358" t="s">
        <v>284</v>
      </c>
      <c r="B71" s="2359"/>
      <c r="C71" s="1359">
        <v>27184</v>
      </c>
      <c r="D71" s="553"/>
      <c r="E71" s="553">
        <f t="shared" si="42"/>
        <v>0</v>
      </c>
      <c r="F71" s="553"/>
      <c r="G71" s="553">
        <f t="shared" si="43"/>
        <v>0</v>
      </c>
      <c r="H71" s="554"/>
      <c r="I71" s="555">
        <f t="shared" si="36"/>
        <v>0</v>
      </c>
      <c r="J71" s="553"/>
      <c r="K71" s="553">
        <f t="shared" si="37"/>
        <v>0</v>
      </c>
      <c r="L71" s="553"/>
      <c r="M71" s="553">
        <f t="shared" si="38"/>
        <v>0</v>
      </c>
      <c r="N71" s="554">
        <f>G54</f>
        <v>450.46701149999996</v>
      </c>
      <c r="O71" s="555">
        <f t="shared" si="39"/>
        <v>12245.495240615999</v>
      </c>
      <c r="P71" s="553"/>
      <c r="Q71" s="553">
        <f t="shared" si="40"/>
        <v>0</v>
      </c>
      <c r="R71" s="553">
        <f t="shared" si="41"/>
        <v>450.46701149999996</v>
      </c>
      <c r="S71" s="553">
        <f t="shared" si="41"/>
        <v>12245.495240615999</v>
      </c>
      <c r="T71" s="556">
        <v>0.96</v>
      </c>
      <c r="U71" s="554">
        <f t="shared" si="44"/>
        <v>4324.483310399999</v>
      </c>
      <c r="V71" s="557"/>
      <c r="X71" s="557"/>
      <c r="AA71" s="476"/>
    </row>
    <row r="72" spans="1:34" s="551" customFormat="1" ht="10.5" customHeight="1" outlineLevel="1">
      <c r="A72" s="2358" t="s">
        <v>285</v>
      </c>
      <c r="B72" s="2359"/>
      <c r="C72" s="1359">
        <v>20450</v>
      </c>
      <c r="D72" s="553"/>
      <c r="E72" s="553">
        <f t="shared" si="42"/>
        <v>0</v>
      </c>
      <c r="F72" s="553"/>
      <c r="G72" s="553">
        <f t="shared" si="43"/>
        <v>0</v>
      </c>
      <c r="H72" s="554"/>
      <c r="I72" s="555">
        <f t="shared" si="36"/>
        <v>0</v>
      </c>
      <c r="J72" s="553">
        <f>H48</f>
        <v>0</v>
      </c>
      <c r="K72" s="553">
        <f t="shared" si="37"/>
        <v>0</v>
      </c>
      <c r="L72" s="553"/>
      <c r="M72" s="553">
        <f t="shared" si="38"/>
        <v>0</v>
      </c>
      <c r="N72" s="554">
        <f>H54</f>
        <v>421.71379799999994</v>
      </c>
      <c r="O72" s="555">
        <f t="shared" si="39"/>
        <v>8624.0471691000002</v>
      </c>
      <c r="P72" s="553">
        <f>H57</f>
        <v>1486.6905069900001</v>
      </c>
      <c r="Q72" s="553">
        <f t="shared" si="40"/>
        <v>30402.820867945502</v>
      </c>
      <c r="R72" s="553">
        <f t="shared" si="41"/>
        <v>1908.4043049900001</v>
      </c>
      <c r="S72" s="553">
        <f t="shared" si="41"/>
        <v>39026.868037045504</v>
      </c>
      <c r="T72" s="556">
        <v>1.1100000000000001</v>
      </c>
      <c r="U72" s="554">
        <f t="shared" si="44"/>
        <v>21183.287785389002</v>
      </c>
      <c r="V72" s="557"/>
      <c r="X72" s="557"/>
      <c r="AA72" s="476"/>
    </row>
    <row r="73" spans="1:34" s="551" customFormat="1" ht="12" customHeight="1">
      <c r="A73" s="2358" t="s">
        <v>286</v>
      </c>
      <c r="B73" s="2359"/>
      <c r="C73" s="1359">
        <v>15840</v>
      </c>
      <c r="D73" s="553"/>
      <c r="E73" s="553">
        <f t="shared" si="42"/>
        <v>0</v>
      </c>
      <c r="F73" s="553"/>
      <c r="G73" s="553">
        <f t="shared" si="43"/>
        <v>0</v>
      </c>
      <c r="H73" s="554"/>
      <c r="I73" s="555">
        <f t="shared" si="36"/>
        <v>0</v>
      </c>
      <c r="J73" s="553"/>
      <c r="K73" s="553">
        <f t="shared" si="37"/>
        <v>0</v>
      </c>
      <c r="L73" s="553"/>
      <c r="M73" s="553">
        <f t="shared" si="38"/>
        <v>0</v>
      </c>
      <c r="N73" s="554"/>
      <c r="O73" s="555">
        <f t="shared" si="39"/>
        <v>0</v>
      </c>
      <c r="P73" s="587">
        <f>I57</f>
        <v>2325.3364340100002</v>
      </c>
      <c r="Q73" s="1360">
        <f t="shared" si="40"/>
        <v>36833.329114718399</v>
      </c>
      <c r="R73" s="1361">
        <f t="shared" si="41"/>
        <v>2325.3364340100002</v>
      </c>
      <c r="S73" s="1360">
        <f t="shared" si="41"/>
        <v>36833.329114718399</v>
      </c>
      <c r="T73" s="556">
        <v>1.1100000000000001</v>
      </c>
      <c r="U73" s="554">
        <f t="shared" si="44"/>
        <v>25811.234417511005</v>
      </c>
      <c r="V73" s="557"/>
      <c r="X73" s="557"/>
      <c r="AA73" s="476"/>
      <c r="AC73" s="480"/>
      <c r="AD73" s="480"/>
      <c r="AE73" s="480"/>
      <c r="AF73" s="480"/>
      <c r="AG73" s="480"/>
      <c r="AH73" s="480"/>
    </row>
    <row r="74" spans="1:34" s="551" customFormat="1" ht="12" customHeight="1">
      <c r="A74" s="2358" t="s">
        <v>287</v>
      </c>
      <c r="B74" s="2359"/>
      <c r="C74" s="1362"/>
      <c r="D74" s="553"/>
      <c r="E74" s="553">
        <f t="shared" si="42"/>
        <v>0</v>
      </c>
      <c r="F74" s="553"/>
      <c r="G74" s="553">
        <f t="shared" si="43"/>
        <v>0</v>
      </c>
      <c r="H74" s="554"/>
      <c r="I74" s="555">
        <f t="shared" si="36"/>
        <v>0</v>
      </c>
      <c r="J74" s="553"/>
      <c r="K74" s="553">
        <f t="shared" si="37"/>
        <v>0</v>
      </c>
      <c r="L74" s="553"/>
      <c r="M74" s="553">
        <f t="shared" si="38"/>
        <v>0</v>
      </c>
      <c r="N74" s="554"/>
      <c r="O74" s="555">
        <f t="shared" si="39"/>
        <v>0</v>
      </c>
      <c r="P74" s="587">
        <f>J57</f>
        <v>0</v>
      </c>
      <c r="Q74" s="1360">
        <f t="shared" si="40"/>
        <v>0</v>
      </c>
      <c r="R74" s="1361">
        <f t="shared" si="41"/>
        <v>0</v>
      </c>
      <c r="S74" s="1360">
        <f t="shared" si="41"/>
        <v>0</v>
      </c>
      <c r="T74" s="556">
        <v>1.06</v>
      </c>
      <c r="U74" s="554">
        <f t="shared" si="44"/>
        <v>0</v>
      </c>
      <c r="V74" s="557"/>
      <c r="X74" s="557"/>
      <c r="AA74" s="476"/>
      <c r="AC74" s="559"/>
      <c r="AD74" s="559"/>
      <c r="AE74" s="559"/>
      <c r="AF74" s="559"/>
      <c r="AG74" s="559"/>
      <c r="AH74" s="559"/>
    </row>
    <row r="75" spans="1:34" s="480" customFormat="1" ht="10.5" customHeight="1">
      <c r="A75" s="2430" t="s">
        <v>298</v>
      </c>
      <c r="B75" s="2431"/>
      <c r="C75" s="560">
        <f>S75/R75*1000</f>
        <v>18735.457479081648</v>
      </c>
      <c r="D75" s="549">
        <f>SUM(D68:D74)</f>
        <v>10.948499999999999</v>
      </c>
      <c r="E75" s="549">
        <f t="shared" ref="E75:S75" si="45">SUM(E68:E74)</f>
        <v>220.44804749999997</v>
      </c>
      <c r="F75" s="549">
        <f t="shared" si="45"/>
        <v>624.52390000000003</v>
      </c>
      <c r="G75" s="549">
        <f t="shared" si="45"/>
        <v>9722.6630180680004</v>
      </c>
      <c r="H75" s="549">
        <f t="shared" si="45"/>
        <v>48.164999999999999</v>
      </c>
      <c r="I75" s="549">
        <f t="shared" si="45"/>
        <v>668.482035</v>
      </c>
      <c r="J75" s="549">
        <f t="shared" si="45"/>
        <v>121.23887600000002</v>
      </c>
      <c r="K75" s="549">
        <f t="shared" si="45"/>
        <v>1690.2590640865603</v>
      </c>
      <c r="L75" s="549">
        <f t="shared" si="45"/>
        <v>18.156633000000003</v>
      </c>
      <c r="M75" s="549">
        <f t="shared" si="45"/>
        <v>763.23222478800005</v>
      </c>
      <c r="N75" s="549">
        <f t="shared" si="45"/>
        <v>958.44044999999983</v>
      </c>
      <c r="O75" s="549">
        <f t="shared" si="45"/>
        <v>24495.552657773998</v>
      </c>
      <c r="P75" s="1363">
        <f t="shared" si="45"/>
        <v>3812.0269410000001</v>
      </c>
      <c r="Q75" s="1364">
        <f t="shared" si="45"/>
        <v>67236.149982663905</v>
      </c>
      <c r="R75" s="1365">
        <f t="shared" si="45"/>
        <v>5593.5002999999997</v>
      </c>
      <c r="S75" s="1364">
        <f t="shared" si="45"/>
        <v>104796.78702988045</v>
      </c>
      <c r="T75" s="561"/>
      <c r="U75" s="554"/>
      <c r="V75" s="477"/>
      <c r="X75" s="477"/>
      <c r="AA75" s="476"/>
      <c r="AC75" s="559"/>
      <c r="AD75" s="559"/>
      <c r="AE75" s="559"/>
      <c r="AF75" s="559"/>
      <c r="AG75" s="559"/>
      <c r="AH75" s="559"/>
    </row>
    <row r="76" spans="1:34" s="559" customFormat="1" ht="8.25" customHeight="1" outlineLevel="1">
      <c r="A76" s="2428" t="s">
        <v>299</v>
      </c>
      <c r="B76" s="2429"/>
      <c r="C76" s="560"/>
      <c r="D76" s="553"/>
      <c r="E76" s="553">
        <f t="shared" si="42"/>
        <v>0</v>
      </c>
      <c r="F76" s="553"/>
      <c r="G76" s="553">
        <f t="shared" si="43"/>
        <v>0</v>
      </c>
      <c r="H76" s="554"/>
      <c r="I76" s="555">
        <f>H76*C76/1000</f>
        <v>0</v>
      </c>
      <c r="J76" s="553"/>
      <c r="K76" s="553">
        <f>J76*C76/1000</f>
        <v>0</v>
      </c>
      <c r="L76" s="562">
        <f>L51</f>
        <v>0</v>
      </c>
      <c r="M76" s="553">
        <f>L76*C76/1000</f>
        <v>0</v>
      </c>
      <c r="N76" s="563">
        <f>L54</f>
        <v>0</v>
      </c>
      <c r="O76" s="555">
        <f>N76*C76/1000</f>
        <v>0</v>
      </c>
      <c r="P76" s="562"/>
      <c r="Q76" s="1360">
        <f>P76*C76/1000</f>
        <v>0</v>
      </c>
      <c r="R76" s="1361">
        <f t="shared" ref="R76:S79" si="46">D76+F76+H76+J76+L76+N76+P76</f>
        <v>0</v>
      </c>
      <c r="S76" s="1360">
        <f t="shared" si="46"/>
        <v>0</v>
      </c>
      <c r="T76" s="564">
        <v>1.34</v>
      </c>
      <c r="U76" s="554">
        <f t="shared" si="44"/>
        <v>0</v>
      </c>
      <c r="V76" s="565"/>
      <c r="X76" s="565"/>
      <c r="AA76" s="476"/>
      <c r="AC76" s="480"/>
      <c r="AD76" s="480"/>
      <c r="AE76" s="480"/>
      <c r="AF76" s="480"/>
      <c r="AG76" s="480"/>
      <c r="AH76" s="480"/>
    </row>
    <row r="77" spans="1:34" s="559" customFormat="1" ht="8.25" customHeight="1" outlineLevel="1">
      <c r="A77" s="2428" t="str">
        <f>N38</f>
        <v>рыбий жир</v>
      </c>
      <c r="B77" s="2429"/>
      <c r="C77" s="1366">
        <v>150000</v>
      </c>
      <c r="D77" s="566">
        <f>N39</f>
        <v>0</v>
      </c>
      <c r="E77" s="553">
        <f t="shared" si="42"/>
        <v>0</v>
      </c>
      <c r="F77" s="553">
        <f>N42</f>
        <v>0</v>
      </c>
      <c r="G77" s="553">
        <f t="shared" si="43"/>
        <v>0</v>
      </c>
      <c r="H77" s="554">
        <f>N45</f>
        <v>0</v>
      </c>
      <c r="I77" s="555">
        <f>H77*C77/1000</f>
        <v>0</v>
      </c>
      <c r="J77" s="553">
        <f>N48</f>
        <v>0</v>
      </c>
      <c r="K77" s="553">
        <f>J77*C77/1000</f>
        <v>0</v>
      </c>
      <c r="L77" s="553">
        <f>N51</f>
        <v>0</v>
      </c>
      <c r="M77" s="553">
        <f>L77*C77/1000</f>
        <v>0</v>
      </c>
      <c r="N77" s="554">
        <f>N54</f>
        <v>0</v>
      </c>
      <c r="O77" s="555">
        <f>N77*C77/1000</f>
        <v>0</v>
      </c>
      <c r="P77" s="553">
        <f>N57</f>
        <v>0</v>
      </c>
      <c r="Q77" s="1360">
        <f>P77*C77/1000</f>
        <v>0</v>
      </c>
      <c r="R77" s="1361">
        <f t="shared" si="46"/>
        <v>0</v>
      </c>
      <c r="S77" s="1360">
        <f t="shared" si="46"/>
        <v>0</v>
      </c>
      <c r="T77" s="564">
        <v>3.9</v>
      </c>
      <c r="U77" s="554">
        <f t="shared" si="44"/>
        <v>0</v>
      </c>
      <c r="V77" s="565"/>
      <c r="X77" s="565"/>
      <c r="AC77" s="480"/>
      <c r="AD77" s="480"/>
      <c r="AE77" s="480"/>
      <c r="AF77" s="480"/>
      <c r="AG77" s="480"/>
      <c r="AH77" s="480"/>
    </row>
    <row r="78" spans="1:34" s="559" customFormat="1" ht="8.25" customHeight="1" outlineLevel="1">
      <c r="A78" s="2428" t="str">
        <f>O38</f>
        <v>ЗЦМ</v>
      </c>
      <c r="B78" s="2429"/>
      <c r="C78" s="1366">
        <v>120000</v>
      </c>
      <c r="D78" s="566">
        <f>O39</f>
        <v>0</v>
      </c>
      <c r="E78" s="553">
        <f t="shared" si="42"/>
        <v>0</v>
      </c>
      <c r="F78" s="553">
        <f>O42</f>
        <v>0</v>
      </c>
      <c r="G78" s="553">
        <f t="shared" si="43"/>
        <v>0</v>
      </c>
      <c r="H78" s="554">
        <f>O45</f>
        <v>0</v>
      </c>
      <c r="I78" s="555">
        <f>H78*C78/1000</f>
        <v>0</v>
      </c>
      <c r="J78" s="553">
        <f>O48</f>
        <v>0</v>
      </c>
      <c r="K78" s="553">
        <f>J78*C78/1000</f>
        <v>0</v>
      </c>
      <c r="L78" s="566">
        <f>O51</f>
        <v>0</v>
      </c>
      <c r="M78" s="553">
        <f>L78*C78/1000</f>
        <v>0</v>
      </c>
      <c r="N78" s="554">
        <f>O54</f>
        <v>0</v>
      </c>
      <c r="O78" s="555">
        <f>N78*C78/1000</f>
        <v>0</v>
      </c>
      <c r="P78" s="553">
        <f>O57</f>
        <v>0</v>
      </c>
      <c r="Q78" s="1360">
        <f>P78*C78/1000</f>
        <v>0</v>
      </c>
      <c r="R78" s="1361">
        <f t="shared" si="46"/>
        <v>0</v>
      </c>
      <c r="S78" s="1360">
        <f t="shared" si="46"/>
        <v>0</v>
      </c>
      <c r="T78" s="564">
        <v>1.8</v>
      </c>
      <c r="U78" s="554">
        <f t="shared" si="44"/>
        <v>0</v>
      </c>
      <c r="V78" s="565"/>
      <c r="X78" s="565"/>
      <c r="AC78" s="480"/>
      <c r="AD78" s="480"/>
      <c r="AE78" s="480"/>
      <c r="AF78" s="480"/>
      <c r="AG78" s="480"/>
      <c r="AH78" s="480"/>
    </row>
    <row r="79" spans="1:34" s="559" customFormat="1" ht="8.25" customHeight="1" outlineLevel="1">
      <c r="A79" s="2428" t="str">
        <f>P38</f>
        <v>сах. песок</v>
      </c>
      <c r="B79" s="2429"/>
      <c r="C79" s="1366">
        <v>50000</v>
      </c>
      <c r="D79" s="553">
        <f>P39</f>
        <v>0</v>
      </c>
      <c r="E79" s="553">
        <f t="shared" si="42"/>
        <v>0</v>
      </c>
      <c r="F79" s="553">
        <f>P42</f>
        <v>0</v>
      </c>
      <c r="G79" s="553">
        <f t="shared" si="43"/>
        <v>0</v>
      </c>
      <c r="H79" s="554">
        <f>P45</f>
        <v>0</v>
      </c>
      <c r="I79" s="555">
        <f>H79*C79/1000</f>
        <v>0</v>
      </c>
      <c r="J79" s="553">
        <f>P48</f>
        <v>0</v>
      </c>
      <c r="K79" s="553">
        <f>J79*C79/1000</f>
        <v>0</v>
      </c>
      <c r="L79" s="553">
        <f>P51</f>
        <v>0</v>
      </c>
      <c r="M79" s="553">
        <f>L79*C79/1000</f>
        <v>0</v>
      </c>
      <c r="N79" s="554">
        <f>P54</f>
        <v>0</v>
      </c>
      <c r="O79" s="555">
        <f>N79*C79/1000</f>
        <v>0</v>
      </c>
      <c r="P79" s="553">
        <f>P57</f>
        <v>0</v>
      </c>
      <c r="Q79" s="1360">
        <f>P79*C79/1000</f>
        <v>0</v>
      </c>
      <c r="R79" s="1361">
        <f t="shared" si="46"/>
        <v>0</v>
      </c>
      <c r="S79" s="1360">
        <f t="shared" si="46"/>
        <v>0</v>
      </c>
      <c r="T79" s="564"/>
      <c r="U79" s="554">
        <f t="shared" si="44"/>
        <v>0</v>
      </c>
      <c r="V79" s="565"/>
      <c r="X79" s="565"/>
      <c r="AC79" s="480"/>
      <c r="AD79" s="480"/>
      <c r="AE79" s="480"/>
      <c r="AF79" s="480"/>
      <c r="AG79" s="480"/>
      <c r="AH79" s="480"/>
    </row>
    <row r="80" spans="1:34" s="559" customFormat="1" ht="8.25" customHeight="1" outlineLevel="1">
      <c r="A80" s="2428" t="s">
        <v>300</v>
      </c>
      <c r="B80" s="2429"/>
      <c r="C80" s="567"/>
      <c r="D80" s="568">
        <f>D77+D78+D79</f>
        <v>0</v>
      </c>
      <c r="E80" s="568">
        <f t="shared" ref="E80:S80" si="47">E77+E78+E79</f>
        <v>0</v>
      </c>
      <c r="F80" s="568">
        <f t="shared" si="47"/>
        <v>0</v>
      </c>
      <c r="G80" s="568">
        <f t="shared" si="47"/>
        <v>0</v>
      </c>
      <c r="H80" s="568">
        <f t="shared" si="47"/>
        <v>0</v>
      </c>
      <c r="I80" s="568">
        <f t="shared" si="47"/>
        <v>0</v>
      </c>
      <c r="J80" s="568">
        <f t="shared" si="47"/>
        <v>0</v>
      </c>
      <c r="K80" s="568">
        <f t="shared" si="47"/>
        <v>0</v>
      </c>
      <c r="L80" s="568">
        <f t="shared" si="47"/>
        <v>0</v>
      </c>
      <c r="M80" s="568">
        <f t="shared" si="47"/>
        <v>0</v>
      </c>
      <c r="N80" s="568">
        <f t="shared" si="47"/>
        <v>0</v>
      </c>
      <c r="O80" s="568">
        <f t="shared" si="47"/>
        <v>0</v>
      </c>
      <c r="P80" s="568">
        <f t="shared" si="47"/>
        <v>0</v>
      </c>
      <c r="Q80" s="1367">
        <f t="shared" si="47"/>
        <v>0</v>
      </c>
      <c r="R80" s="1368">
        <f t="shared" si="47"/>
        <v>0</v>
      </c>
      <c r="S80" s="1367">
        <f t="shared" si="47"/>
        <v>0</v>
      </c>
      <c r="T80" s="564"/>
      <c r="U80" s="554">
        <f t="shared" si="44"/>
        <v>0</v>
      </c>
      <c r="V80" s="565"/>
      <c r="X80" s="565"/>
      <c r="AC80" s="480"/>
      <c r="AD80" s="480"/>
      <c r="AE80" s="480"/>
      <c r="AF80" s="480"/>
      <c r="AG80" s="480"/>
      <c r="AH80" s="480"/>
    </row>
    <row r="81" spans="1:39" s="480" customFormat="1" ht="8.25" customHeight="1" outlineLevel="1">
      <c r="A81" s="2430" t="s">
        <v>301</v>
      </c>
      <c r="B81" s="2431"/>
      <c r="C81" s="554"/>
      <c r="D81" s="558"/>
      <c r="E81" s="553">
        <f t="shared" si="42"/>
        <v>0</v>
      </c>
      <c r="F81" s="553"/>
      <c r="G81" s="553">
        <f t="shared" si="43"/>
        <v>0</v>
      </c>
      <c r="H81" s="554"/>
      <c r="I81" s="555">
        <f>H81*C81/1000</f>
        <v>0</v>
      </c>
      <c r="J81" s="553"/>
      <c r="K81" s="553">
        <f>J81*C81/1000</f>
        <v>0</v>
      </c>
      <c r="L81" s="569"/>
      <c r="M81" s="553">
        <f>L81*C81/1000</f>
        <v>0</v>
      </c>
      <c r="N81" s="554"/>
      <c r="O81" s="555">
        <f>N81*C81/1000</f>
        <v>0</v>
      </c>
      <c r="P81" s="569">
        <f>M57</f>
        <v>0</v>
      </c>
      <c r="Q81" s="1360">
        <f>P81*C81/1000</f>
        <v>0</v>
      </c>
      <c r="R81" s="1361">
        <f>D81+F81+H81+J81+L81+N81+P81</f>
        <v>0</v>
      </c>
      <c r="S81" s="1360">
        <f>E81+G81+I81+K81+M81+O81+Q81</f>
        <v>0</v>
      </c>
      <c r="T81" s="561">
        <v>1.24</v>
      </c>
      <c r="U81" s="554">
        <f t="shared" si="44"/>
        <v>0</v>
      </c>
      <c r="V81" s="477"/>
      <c r="X81" s="477"/>
      <c r="AC81" s="473"/>
      <c r="AD81" s="475"/>
      <c r="AE81" s="474"/>
      <c r="AF81" s="472"/>
      <c r="AG81" s="474"/>
      <c r="AH81" s="472"/>
    </row>
    <row r="82" spans="1:39" s="480" customFormat="1" ht="11.25" customHeight="1">
      <c r="A82" s="1369"/>
      <c r="B82" s="1370"/>
      <c r="C82" s="1371"/>
      <c r="D82" s="1372"/>
      <c r="E82" s="1373"/>
      <c r="F82" s="1373"/>
      <c r="G82" s="1373"/>
      <c r="H82" s="1371"/>
      <c r="I82" s="1374"/>
      <c r="J82" s="1373"/>
      <c r="K82" s="1373"/>
      <c r="L82" s="1375"/>
      <c r="M82" s="1373"/>
      <c r="N82" s="1371"/>
      <c r="O82" s="1374"/>
      <c r="P82" s="1375"/>
      <c r="Q82" s="1376"/>
      <c r="R82" s="1377"/>
      <c r="S82" s="1376"/>
      <c r="T82" s="1378"/>
      <c r="U82" s="1371"/>
      <c r="V82" s="477"/>
      <c r="X82" s="477"/>
      <c r="AC82" s="473"/>
      <c r="AD82" s="475"/>
      <c r="AE82" s="474"/>
      <c r="AF82" s="472"/>
      <c r="AG82" s="474"/>
      <c r="AH82" s="472"/>
    </row>
    <row r="83" spans="1:39" s="480" customFormat="1" ht="9.75" customHeight="1">
      <c r="A83" s="2434" t="s">
        <v>302</v>
      </c>
      <c r="B83" s="2434"/>
      <c r="C83" s="563"/>
      <c r="D83" s="575">
        <f>D75+D76+D80+D81</f>
        <v>10.948499999999999</v>
      </c>
      <c r="E83" s="575">
        <f t="shared" ref="E83:S83" si="48">E75+E76+E80+E81</f>
        <v>220.44804749999997</v>
      </c>
      <c r="F83" s="575">
        <f t="shared" si="48"/>
        <v>624.52390000000003</v>
      </c>
      <c r="G83" s="575">
        <f t="shared" si="48"/>
        <v>9722.6630180680004</v>
      </c>
      <c r="H83" s="575">
        <f t="shared" si="48"/>
        <v>48.164999999999999</v>
      </c>
      <c r="I83" s="575">
        <f t="shared" si="48"/>
        <v>668.482035</v>
      </c>
      <c r="J83" s="575">
        <f t="shared" si="48"/>
        <v>121.23887600000002</v>
      </c>
      <c r="K83" s="575">
        <f t="shared" si="48"/>
        <v>1690.2590640865603</v>
      </c>
      <c r="L83" s="575">
        <f t="shared" si="48"/>
        <v>18.156633000000003</v>
      </c>
      <c r="M83" s="575">
        <f t="shared" si="48"/>
        <v>763.23222478800005</v>
      </c>
      <c r="N83" s="575">
        <f t="shared" si="48"/>
        <v>958.44044999999983</v>
      </c>
      <c r="O83" s="575">
        <f t="shared" si="48"/>
        <v>24495.552657773998</v>
      </c>
      <c r="P83" s="1379">
        <f t="shared" si="48"/>
        <v>3812.0269410000001</v>
      </c>
      <c r="Q83" s="1380">
        <f>Q75+Q76+Q80+Q81</f>
        <v>67236.149982663905</v>
      </c>
      <c r="R83" s="1381">
        <f t="shared" si="48"/>
        <v>5593.5002999999997</v>
      </c>
      <c r="S83" s="1380">
        <f t="shared" si="48"/>
        <v>104796.78702988045</v>
      </c>
      <c r="T83" s="563"/>
      <c r="U83" s="563">
        <f>SUM(U68:U81)</f>
        <v>60787.875850552009</v>
      </c>
      <c r="V83" s="477"/>
      <c r="X83" s="477"/>
      <c r="AC83" s="473"/>
      <c r="AD83" s="475"/>
      <c r="AE83" s="474"/>
      <c r="AF83" s="472"/>
      <c r="AG83" s="474"/>
      <c r="AH83" s="472"/>
    </row>
    <row r="84" spans="1:39" s="480" customFormat="1" ht="2.25" customHeight="1">
      <c r="A84" s="1382"/>
      <c r="B84" s="1382"/>
      <c r="C84" s="1383"/>
      <c r="D84" s="1384"/>
      <c r="E84" s="1384"/>
      <c r="F84" s="1384"/>
      <c r="G84" s="1384"/>
      <c r="H84" s="1384"/>
      <c r="I84" s="1384"/>
      <c r="J84" s="1384"/>
      <c r="K84" s="1384"/>
      <c r="L84" s="1384"/>
      <c r="M84" s="1384"/>
      <c r="N84" s="1384"/>
      <c r="O84" s="1384"/>
      <c r="P84" s="1384"/>
      <c r="Q84" s="1384"/>
      <c r="R84" s="1384"/>
      <c r="S84" s="1385"/>
      <c r="T84" s="1383"/>
      <c r="U84" s="1383"/>
      <c r="V84" s="477"/>
      <c r="X84" s="477"/>
      <c r="AC84" s="473"/>
      <c r="AD84" s="475"/>
      <c r="AE84" s="474"/>
      <c r="AF84" s="472"/>
      <c r="AG84" s="474"/>
      <c r="AH84" s="472"/>
    </row>
    <row r="85" spans="1:39" s="480" customFormat="1" ht="9.75" customHeight="1">
      <c r="A85" s="2347" t="s">
        <v>429</v>
      </c>
      <c r="B85" s="2347"/>
      <c r="C85" s="563"/>
      <c r="D85" s="575">
        <f>(D68*T68+D69*T69+D71*T71+D72*T72+D73*T73+D74*T74+D76*T76+D77*T77+D78*T78+D79*T79+D81*T81)*10</f>
        <v>117.14895</v>
      </c>
      <c r="E85" s="575">
        <f>E83/D85*10</f>
        <v>18.817757009345794</v>
      </c>
      <c r="F85" s="575">
        <f>(F68*T68+F69*T69+F71*T71+F72*T72+F73*T73+F74*T74+F76*T76+F77*T77+F78*T78+F79*T79+F81*T81)*10</f>
        <v>6591.2252406000007</v>
      </c>
      <c r="G85" s="575">
        <f>G83/F85*10</f>
        <v>14.750919082812203</v>
      </c>
      <c r="H85" s="575">
        <f>(H68*T68+H69*T69+H71*T71+H72*T72+H73*T73+H74*T74+H76*T76+H77*T77+H78*T78+H79*T79+H81*T81)*10</f>
        <v>505.73250000000002</v>
      </c>
      <c r="I85" s="575">
        <f>I83/H85*10</f>
        <v>13.218095238095238</v>
      </c>
      <c r="J85" s="575">
        <f>(J68*T68+J69*T69+J71*T71+J72*T72+J73*T73+J74*T74+J76*T76+J77*T77+J78*T78+J79*T79+J81*T81)*10</f>
        <v>1273.2506757520002</v>
      </c>
      <c r="K85" s="575">
        <f>K83/J85*10</f>
        <v>13.27514759093506</v>
      </c>
      <c r="L85" s="575">
        <f>(L68*T68+L69*T69+L70*T70+L71*T71+L72*T72+L73*T73+L74*T74+L76*T76+L77*T77+L78*T78+L79*T79+L81*T81)*10</f>
        <v>170.67235020000001</v>
      </c>
      <c r="M85" s="575">
        <f>M83/L85*10</f>
        <v>44.719148936170214</v>
      </c>
      <c r="N85" s="575">
        <f>(N68*T68+N69*T69+N70*T70+N71*T71+N72*T72+N73*T73+N74*T74+N76*T76+N77*T77+N78*T78+N79*T79+N81*T81)*10</f>
        <v>9816.3470889</v>
      </c>
      <c r="O85" s="575">
        <f>O83/N85*10</f>
        <v>24.95383714118336</v>
      </c>
      <c r="P85" s="575">
        <f>(P68*T68+P69*T69+P71*T71+P72*T72+P73*T73+P74*T74+P76*T76+P77*T77+P78*T78+P79*T79+P81*T81)*10</f>
        <v>42313.499045100005</v>
      </c>
      <c r="Q85" s="575">
        <f>Q83/P85*10</f>
        <v>15.89</v>
      </c>
      <c r="R85" s="575">
        <f>U83</f>
        <v>60787.875850552009</v>
      </c>
      <c r="S85" s="576">
        <f>S83/R85*10</f>
        <v>17.239751441146762</v>
      </c>
      <c r="T85" s="563"/>
      <c r="U85" s="563"/>
      <c r="V85" s="477"/>
      <c r="X85" s="477"/>
      <c r="AC85" s="473"/>
      <c r="AD85" s="475"/>
      <c r="AE85" s="474"/>
      <c r="AF85" s="472"/>
      <c r="AG85" s="474"/>
      <c r="AH85" s="472"/>
    </row>
    <row r="86" spans="1:39" ht="17.25" customHeight="1">
      <c r="M86" s="472"/>
      <c r="N86" s="473"/>
      <c r="O86" s="474"/>
      <c r="Q86" s="475"/>
      <c r="R86" s="474"/>
      <c r="S86" s="472"/>
      <c r="T86" s="473"/>
      <c r="U86" s="475"/>
      <c r="V86" s="474"/>
      <c r="W86" s="472"/>
      <c r="Z86" s="472"/>
      <c r="AA86" s="474"/>
      <c r="AB86" s="475"/>
      <c r="AE86" s="475"/>
      <c r="AF86" s="476"/>
      <c r="AG86" s="476"/>
      <c r="AL86" s="472"/>
      <c r="AM86" s="472"/>
    </row>
    <row r="87" spans="1:39" s="586" customFormat="1" ht="9.75" customHeight="1">
      <c r="A87" s="476" t="s">
        <v>430</v>
      </c>
      <c r="B87" s="476"/>
      <c r="C87" s="473"/>
      <c r="D87" s="476"/>
      <c r="E87" s="476"/>
      <c r="F87" s="476"/>
      <c r="G87" s="476"/>
      <c r="H87" s="476"/>
      <c r="I87" s="476"/>
      <c r="J87" s="476"/>
      <c r="K87" s="476"/>
      <c r="L87" s="476"/>
      <c r="M87" s="476"/>
      <c r="N87" s="473"/>
      <c r="O87" s="476"/>
      <c r="P87" s="473"/>
      <c r="Q87" s="476"/>
      <c r="R87" s="476"/>
      <c r="S87" s="476"/>
      <c r="T87" s="476"/>
      <c r="U87" s="476"/>
      <c r="V87" s="580"/>
      <c r="W87" s="581"/>
      <c r="X87" s="582"/>
      <c r="Y87" s="581"/>
      <c r="Z87" s="581"/>
      <c r="AA87" s="583"/>
      <c r="AB87" s="584"/>
      <c r="AC87" s="585"/>
      <c r="AD87" s="585"/>
      <c r="AE87" s="585"/>
      <c r="AF87" s="585"/>
      <c r="AG87" s="585"/>
    </row>
    <row r="88" spans="1:39" s="586" customFormat="1" ht="9.75" customHeight="1">
      <c r="A88" s="2353" t="s">
        <v>295</v>
      </c>
      <c r="B88" s="2354"/>
      <c r="C88" s="550"/>
      <c r="D88" s="2348" t="s">
        <v>349</v>
      </c>
      <c r="E88" s="2348"/>
      <c r="F88" s="2348" t="s">
        <v>415</v>
      </c>
      <c r="G88" s="2348"/>
      <c r="H88" s="2348" t="s">
        <v>416</v>
      </c>
      <c r="I88" s="2348"/>
      <c r="J88" s="2348" t="s">
        <v>352</v>
      </c>
      <c r="K88" s="2348"/>
      <c r="L88" s="2348" t="s">
        <v>411</v>
      </c>
      <c r="M88" s="2348"/>
      <c r="N88" s="2357" t="s">
        <v>412</v>
      </c>
      <c r="O88" s="2357"/>
      <c r="P88" s="2348" t="s">
        <v>294</v>
      </c>
      <c r="Q88" s="2348"/>
      <c r="R88" s="2348" t="s">
        <v>24</v>
      </c>
      <c r="S88" s="2348"/>
      <c r="T88" s="2377" t="s">
        <v>296</v>
      </c>
      <c r="U88" s="2377" t="s">
        <v>297</v>
      </c>
      <c r="V88" s="580"/>
      <c r="W88" s="581"/>
      <c r="X88" s="582"/>
      <c r="Y88" s="581"/>
      <c r="Z88" s="581"/>
      <c r="AA88" s="583"/>
      <c r="AB88" s="584"/>
      <c r="AC88" s="585"/>
      <c r="AD88" s="585"/>
      <c r="AE88" s="585"/>
      <c r="AF88" s="585"/>
      <c r="AG88" s="585"/>
    </row>
    <row r="89" spans="1:39" s="586" customFormat="1" ht="9.75" customHeight="1">
      <c r="A89" s="2355"/>
      <c r="B89" s="2356"/>
      <c r="C89" s="535" t="s">
        <v>40</v>
      </c>
      <c r="D89" s="1607" t="s">
        <v>12</v>
      </c>
      <c r="E89" s="1607" t="s">
        <v>39</v>
      </c>
      <c r="F89" s="1607" t="s">
        <v>12</v>
      </c>
      <c r="G89" s="1607" t="s">
        <v>39</v>
      </c>
      <c r="H89" s="1607" t="s">
        <v>12</v>
      </c>
      <c r="I89" s="1607" t="s">
        <v>39</v>
      </c>
      <c r="J89" s="1607" t="s">
        <v>12</v>
      </c>
      <c r="K89" s="1607" t="s">
        <v>39</v>
      </c>
      <c r="L89" s="1607" t="s">
        <v>12</v>
      </c>
      <c r="M89" s="1607" t="s">
        <v>39</v>
      </c>
      <c r="N89" s="1607" t="s">
        <v>12</v>
      </c>
      <c r="O89" s="1607" t="s">
        <v>39</v>
      </c>
      <c r="P89" s="1607" t="s">
        <v>12</v>
      </c>
      <c r="Q89" s="1607" t="s">
        <v>39</v>
      </c>
      <c r="R89" s="1607" t="s">
        <v>12</v>
      </c>
      <c r="S89" s="1607" t="s">
        <v>39</v>
      </c>
      <c r="T89" s="2377"/>
      <c r="U89" s="2377"/>
      <c r="V89" s="580"/>
      <c r="W89" s="581"/>
      <c r="X89" s="582"/>
      <c r="Y89" s="581"/>
      <c r="Z89" s="581"/>
      <c r="AA89" s="583"/>
      <c r="AB89" s="584"/>
      <c r="AC89" s="585"/>
      <c r="AD89" s="585"/>
      <c r="AE89" s="585"/>
      <c r="AF89" s="585"/>
      <c r="AG89" s="585"/>
    </row>
    <row r="90" spans="1:39" s="586" customFormat="1" ht="9.75" customHeight="1">
      <c r="A90" s="2432"/>
      <c r="B90" s="2433"/>
      <c r="C90" s="535" t="s">
        <v>289</v>
      </c>
      <c r="D90" s="536"/>
      <c r="E90" s="536"/>
      <c r="F90" s="536"/>
      <c r="G90" s="536"/>
      <c r="H90" s="535"/>
      <c r="I90" s="552"/>
      <c r="J90" s="536"/>
      <c r="K90" s="536"/>
      <c r="L90" s="536"/>
      <c r="M90" s="536"/>
      <c r="N90" s="535"/>
      <c r="O90" s="552"/>
      <c r="P90" s="536"/>
      <c r="Q90" s="536"/>
      <c r="R90" s="536"/>
      <c r="S90" s="536"/>
      <c r="T90" s="2377"/>
      <c r="U90" s="2377"/>
      <c r="V90" s="580"/>
      <c r="W90" s="581"/>
      <c r="X90" s="582"/>
      <c r="Y90" s="581"/>
      <c r="Z90" s="581"/>
      <c r="AA90" s="583"/>
      <c r="AB90" s="584"/>
      <c r="AC90" s="585"/>
      <c r="AD90" s="585"/>
      <c r="AE90" s="585"/>
      <c r="AF90" s="585"/>
      <c r="AG90" s="585"/>
    </row>
    <row r="91" spans="1:39" s="586" customFormat="1" ht="9.75" customHeight="1">
      <c r="A91" s="2358" t="s">
        <v>282</v>
      </c>
      <c r="B91" s="2359"/>
      <c r="C91" s="554">
        <f>S91/R91*1000</f>
        <v>15088.79428805126</v>
      </c>
      <c r="D91" s="2098">
        <f>D40</f>
        <v>1.395</v>
      </c>
      <c r="E91" s="2098">
        <v>20.4299</v>
      </c>
      <c r="F91" s="2098">
        <f>D43</f>
        <v>435.20699999999999</v>
      </c>
      <c r="G91" s="2098">
        <v>6579.8505800000003</v>
      </c>
      <c r="H91" s="2168">
        <f>D46</f>
        <v>34.133000000000003</v>
      </c>
      <c r="I91" s="2168">
        <v>513.63770999999997</v>
      </c>
      <c r="J91" s="2168">
        <f>D49</f>
        <v>116.105</v>
      </c>
      <c r="K91" s="2168">
        <v>1740.7898499999999</v>
      </c>
      <c r="L91" s="937"/>
      <c r="M91" s="937"/>
      <c r="N91" s="939"/>
      <c r="O91" s="2096"/>
      <c r="P91" s="937"/>
      <c r="Q91" s="937"/>
      <c r="R91" s="937">
        <f>D91+F91+H91+J91+L91+N91+P91</f>
        <v>586.83999999999992</v>
      </c>
      <c r="S91" s="937">
        <f t="shared" ref="R91:S97" si="49">E91+G91+I91+K91+M91+O91+Q91</f>
        <v>8854.7080399999995</v>
      </c>
      <c r="T91" s="556">
        <f>U91/R91/10</f>
        <v>0</v>
      </c>
      <c r="U91" s="554"/>
      <c r="V91" s="580"/>
      <c r="W91" s="581"/>
      <c r="X91" s="582"/>
      <c r="Y91" s="581"/>
      <c r="Z91" s="581"/>
      <c r="AA91" s="583"/>
      <c r="AB91" s="584"/>
      <c r="AC91" s="585"/>
      <c r="AD91" s="585"/>
      <c r="AE91" s="585"/>
      <c r="AF91" s="585"/>
      <c r="AG91" s="585"/>
    </row>
    <row r="92" spans="1:39" s="586" customFormat="1" ht="9.75" customHeight="1">
      <c r="A92" s="2358" t="s">
        <v>283</v>
      </c>
      <c r="B92" s="2359"/>
      <c r="C92" s="554">
        <f t="shared" ref="C92:C104" si="50">S92/R92*1000</f>
        <v>20229.435480788041</v>
      </c>
      <c r="D92" s="2168">
        <f>E40</f>
        <v>8.9250000000000007</v>
      </c>
      <c r="E92" s="2168">
        <v>178.93415999999999</v>
      </c>
      <c r="F92" s="2098">
        <f>E43</f>
        <v>362.79599999999999</v>
      </c>
      <c r="G92" s="2098">
        <v>7377.7350100000003</v>
      </c>
      <c r="H92" s="2170">
        <f>E46</f>
        <v>44.87</v>
      </c>
      <c r="I92" s="2171">
        <v>889.02085</v>
      </c>
      <c r="J92" s="2168">
        <f>E49</f>
        <v>28.106000000000002</v>
      </c>
      <c r="K92" s="2168">
        <v>550.27925000000005</v>
      </c>
      <c r="L92" s="937"/>
      <c r="M92" s="937"/>
      <c r="N92" s="939"/>
      <c r="O92" s="2096"/>
      <c r="P92" s="937"/>
      <c r="Q92" s="937"/>
      <c r="R92" s="937">
        <f t="shared" ref="R92:R96" si="51">D92+F92+H92+J92+L92+N92+P92</f>
        <v>444.697</v>
      </c>
      <c r="S92" s="937">
        <f t="shared" si="49"/>
        <v>8995.9692699999996</v>
      </c>
      <c r="T92" s="556">
        <f t="shared" ref="T92:T101" si="52">U92/R92/10</f>
        <v>0</v>
      </c>
      <c r="U92" s="554"/>
      <c r="V92" s="580"/>
      <c r="W92" s="581"/>
      <c r="X92" s="582"/>
      <c r="Y92" s="581"/>
      <c r="Z92" s="581"/>
      <c r="AA92" s="583"/>
      <c r="AB92" s="584"/>
      <c r="AC92" s="585"/>
      <c r="AD92" s="585"/>
      <c r="AE92" s="585"/>
      <c r="AF92" s="585"/>
      <c r="AG92" s="585"/>
    </row>
    <row r="93" spans="1:39" s="586" customFormat="1" ht="9.75" customHeight="1">
      <c r="A93" s="2358" t="s">
        <v>432</v>
      </c>
      <c r="B93" s="2359"/>
      <c r="C93" s="554">
        <f t="shared" si="50"/>
        <v>41795.879871560785</v>
      </c>
      <c r="D93" s="937"/>
      <c r="E93" s="937"/>
      <c r="F93" s="937"/>
      <c r="G93" s="937"/>
      <c r="H93" s="939"/>
      <c r="I93" s="2096"/>
      <c r="J93" s="2095"/>
      <c r="K93" s="937"/>
      <c r="L93" s="2098">
        <f>F52</f>
        <v>16.015999999999998</v>
      </c>
      <c r="M93" s="2098">
        <v>669.96034999999995</v>
      </c>
      <c r="N93" s="2170">
        <f>F55</f>
        <v>15.75</v>
      </c>
      <c r="O93" s="2171">
        <v>657.72757000000001</v>
      </c>
      <c r="P93" s="937"/>
      <c r="Q93" s="937"/>
      <c r="R93" s="937">
        <f t="shared" si="51"/>
        <v>31.765999999999998</v>
      </c>
      <c r="S93" s="937">
        <f t="shared" si="49"/>
        <v>1327.6879199999998</v>
      </c>
      <c r="T93" s="556">
        <f t="shared" si="52"/>
        <v>0</v>
      </c>
      <c r="U93" s="554"/>
      <c r="V93" s="580"/>
      <c r="W93" s="581"/>
      <c r="X93" s="582"/>
      <c r="Y93" s="581"/>
      <c r="Z93" s="581"/>
      <c r="AA93" s="583"/>
      <c r="AB93" s="584"/>
      <c r="AC93" s="585"/>
      <c r="AD93" s="585"/>
      <c r="AE93" s="585"/>
      <c r="AF93" s="585"/>
      <c r="AG93" s="585"/>
    </row>
    <row r="94" spans="1:39" s="586" customFormat="1" ht="9.75" customHeight="1">
      <c r="A94" s="2358" t="s">
        <v>284</v>
      </c>
      <c r="B94" s="2359"/>
      <c r="C94" s="554">
        <f t="shared" si="50"/>
        <v>25729.302998872601</v>
      </c>
      <c r="D94" s="937"/>
      <c r="E94" s="937"/>
      <c r="F94" s="937"/>
      <c r="G94" s="937"/>
      <c r="H94" s="939"/>
      <c r="I94" s="2096"/>
      <c r="J94" s="2095"/>
      <c r="K94" s="937"/>
      <c r="L94" s="937"/>
      <c r="M94" s="937"/>
      <c r="N94" s="2170">
        <f>G55</f>
        <v>443.5</v>
      </c>
      <c r="O94" s="2171">
        <v>11410.945879999999</v>
      </c>
      <c r="P94" s="2097"/>
      <c r="Q94" s="2097"/>
      <c r="R94" s="937">
        <f t="shared" si="51"/>
        <v>443.5</v>
      </c>
      <c r="S94" s="937">
        <f t="shared" si="49"/>
        <v>11410.945879999999</v>
      </c>
      <c r="T94" s="556">
        <f t="shared" si="52"/>
        <v>0</v>
      </c>
      <c r="U94" s="554"/>
      <c r="V94" s="580"/>
      <c r="W94" s="581"/>
      <c r="X94" s="582"/>
      <c r="Y94" s="581"/>
      <c r="Z94" s="581"/>
      <c r="AA94" s="583"/>
      <c r="AB94" s="584"/>
      <c r="AC94" s="585"/>
      <c r="AD94" s="585"/>
      <c r="AE94" s="585"/>
      <c r="AF94" s="585"/>
      <c r="AG94" s="585"/>
    </row>
    <row r="95" spans="1:39" s="586" customFormat="1" ht="9.75" customHeight="1">
      <c r="A95" s="2358" t="s">
        <v>285</v>
      </c>
      <c r="B95" s="2359"/>
      <c r="C95" s="554">
        <f t="shared" si="50"/>
        <v>19057.718083666445</v>
      </c>
      <c r="D95" s="937"/>
      <c r="E95" s="937"/>
      <c r="F95" s="937"/>
      <c r="G95" s="937"/>
      <c r="H95" s="939"/>
      <c r="I95" s="2096"/>
      <c r="J95" s="2095"/>
      <c r="K95" s="937"/>
      <c r="L95" s="937"/>
      <c r="M95" s="937"/>
      <c r="N95" s="2170">
        <f>H55</f>
        <v>505.39499999999998</v>
      </c>
      <c r="O95" s="2171">
        <v>9633.1610600000004</v>
      </c>
      <c r="P95" s="2173">
        <f>H58</f>
        <v>916.8</v>
      </c>
      <c r="Q95" s="2173">
        <v>17470.63031</v>
      </c>
      <c r="R95" s="937">
        <f t="shared" si="51"/>
        <v>1422.1949999999999</v>
      </c>
      <c r="S95" s="937">
        <f t="shared" si="49"/>
        <v>27103.791369999999</v>
      </c>
      <c r="T95" s="556">
        <f t="shared" si="52"/>
        <v>0</v>
      </c>
      <c r="U95" s="554"/>
      <c r="V95" s="580"/>
      <c r="W95" s="581"/>
      <c r="X95" s="582"/>
      <c r="Y95" s="581"/>
      <c r="Z95" s="581"/>
      <c r="AA95" s="583"/>
      <c r="AB95" s="584"/>
      <c r="AC95" s="585"/>
      <c r="AD95" s="585"/>
      <c r="AE95" s="585"/>
      <c r="AF95" s="585"/>
      <c r="AG95" s="585"/>
    </row>
    <row r="96" spans="1:39" s="586" customFormat="1" ht="9.75" customHeight="1">
      <c r="A96" s="2358" t="s">
        <v>286</v>
      </c>
      <c r="B96" s="2359"/>
      <c r="C96" s="554">
        <f t="shared" si="50"/>
        <v>14836.914904809677</v>
      </c>
      <c r="D96" s="937"/>
      <c r="E96" s="937"/>
      <c r="F96" s="937"/>
      <c r="G96" s="937"/>
      <c r="H96" s="939"/>
      <c r="I96" s="2096"/>
      <c r="J96" s="2098">
        <f>I49</f>
        <v>50</v>
      </c>
      <c r="K96" s="2098">
        <v>745.06538999999998</v>
      </c>
      <c r="L96" s="937"/>
      <c r="M96" s="937"/>
      <c r="N96" s="939"/>
      <c r="O96" s="2096"/>
      <c r="P96" s="2173">
        <f>I58</f>
        <v>3077.0509999999999</v>
      </c>
      <c r="Q96" s="2173">
        <v>45650.724199999997</v>
      </c>
      <c r="R96" s="937">
        <f t="shared" si="51"/>
        <v>3127.0509999999999</v>
      </c>
      <c r="S96" s="937">
        <f t="shared" si="49"/>
        <v>46395.78959</v>
      </c>
      <c r="T96" s="556">
        <f t="shared" si="52"/>
        <v>0</v>
      </c>
      <c r="U96" s="554"/>
      <c r="V96" s="580"/>
      <c r="W96" s="581"/>
      <c r="X96" s="582"/>
      <c r="Y96" s="581"/>
      <c r="Z96" s="581"/>
      <c r="AA96" s="583"/>
      <c r="AB96" s="584"/>
      <c r="AC96" s="585"/>
      <c r="AD96" s="585"/>
      <c r="AE96" s="585"/>
      <c r="AF96" s="585"/>
      <c r="AG96" s="585"/>
    </row>
    <row r="97" spans="1:37" s="586" customFormat="1" ht="9.75" customHeight="1">
      <c r="A97" s="2358" t="s">
        <v>287</v>
      </c>
      <c r="B97" s="2359"/>
      <c r="C97" s="554" t="e">
        <f t="shared" si="50"/>
        <v>#DIV/0!</v>
      </c>
      <c r="D97" s="937"/>
      <c r="E97" s="937"/>
      <c r="F97" s="937"/>
      <c r="G97" s="937"/>
      <c r="H97" s="939"/>
      <c r="I97" s="2096"/>
      <c r="J97" s="937"/>
      <c r="K97" s="937"/>
      <c r="L97" s="937"/>
      <c r="M97" s="937"/>
      <c r="N97" s="939"/>
      <c r="O97" s="2096"/>
      <c r="P97" s="937"/>
      <c r="Q97" s="937"/>
      <c r="R97" s="937">
        <f t="shared" si="49"/>
        <v>0</v>
      </c>
      <c r="S97" s="937">
        <f t="shared" si="49"/>
        <v>0</v>
      </c>
      <c r="T97" s="556" t="e">
        <f t="shared" si="52"/>
        <v>#DIV/0!</v>
      </c>
      <c r="U97" s="554"/>
      <c r="V97" s="580"/>
      <c r="W97" s="581"/>
      <c r="X97" s="582"/>
      <c r="Y97" s="581"/>
      <c r="Z97" s="581"/>
      <c r="AA97" s="583"/>
      <c r="AB97" s="584"/>
      <c r="AC97" s="585"/>
      <c r="AD97" s="585"/>
      <c r="AE97" s="585"/>
      <c r="AF97" s="585"/>
      <c r="AG97" s="585"/>
    </row>
    <row r="98" spans="1:37" s="586" customFormat="1" ht="9.75" customHeight="1">
      <c r="A98" s="2430" t="s">
        <v>298</v>
      </c>
      <c r="B98" s="2431"/>
      <c r="C98" s="554">
        <f>S98/R98*1000</f>
        <v>17187.590798885547</v>
      </c>
      <c r="D98" s="940">
        <f>SUM(D91:D97)</f>
        <v>10.32</v>
      </c>
      <c r="E98" s="940">
        <f t="shared" ref="E98:S98" si="53">SUM(E91:E97)</f>
        <v>199.36405999999999</v>
      </c>
      <c r="F98" s="940">
        <f t="shared" si="53"/>
        <v>798.00299999999993</v>
      </c>
      <c r="G98" s="940">
        <f t="shared" si="53"/>
        <v>13957.585590000001</v>
      </c>
      <c r="H98" s="940">
        <f t="shared" si="53"/>
        <v>79.003</v>
      </c>
      <c r="I98" s="940">
        <f t="shared" si="53"/>
        <v>1402.6585599999999</v>
      </c>
      <c r="J98" s="940">
        <f t="shared" si="53"/>
        <v>194.21100000000001</v>
      </c>
      <c r="K98" s="940">
        <f t="shared" si="53"/>
        <v>3036.1344899999995</v>
      </c>
      <c r="L98" s="940">
        <f t="shared" si="53"/>
        <v>16.015999999999998</v>
      </c>
      <c r="M98" s="940">
        <f t="shared" si="53"/>
        <v>669.96034999999995</v>
      </c>
      <c r="N98" s="940">
        <f t="shared" si="53"/>
        <v>964.64499999999998</v>
      </c>
      <c r="O98" s="940">
        <f t="shared" si="53"/>
        <v>21701.834510000001</v>
      </c>
      <c r="P98" s="940">
        <f t="shared" si="53"/>
        <v>3993.8509999999997</v>
      </c>
      <c r="Q98" s="940">
        <f t="shared" si="53"/>
        <v>63121.354509999997</v>
      </c>
      <c r="R98" s="940">
        <f t="shared" si="53"/>
        <v>6056.0489999999991</v>
      </c>
      <c r="S98" s="940">
        <f t="shared" si="53"/>
        <v>104088.89207</v>
      </c>
      <c r="T98" s="561"/>
      <c r="U98" s="554"/>
      <c r="V98" s="580"/>
      <c r="W98" s="581"/>
      <c r="X98" s="582"/>
      <c r="Y98" s="581"/>
      <c r="Z98" s="581"/>
      <c r="AA98" s="583"/>
      <c r="AB98" s="584"/>
      <c r="AC98" s="585"/>
      <c r="AD98" s="585"/>
      <c r="AE98" s="585"/>
      <c r="AF98" s="585"/>
      <c r="AG98" s="585"/>
    </row>
    <row r="99" spans="1:37" s="586" customFormat="1" ht="9.75" customHeight="1">
      <c r="A99" s="2428" t="str">
        <f>L38</f>
        <v>сухое молоко</v>
      </c>
      <c r="B99" s="2429"/>
      <c r="C99" s="554">
        <f t="shared" si="50"/>
        <v>72000</v>
      </c>
      <c r="D99" s="937"/>
      <c r="E99" s="937"/>
      <c r="F99" s="937"/>
      <c r="G99" s="937"/>
      <c r="H99" s="939"/>
      <c r="I99" s="2096"/>
      <c r="J99" s="937"/>
      <c r="K99" s="937"/>
      <c r="L99" s="2172">
        <f>L52</f>
        <v>2.5000000000000001E-2</v>
      </c>
      <c r="M99" s="2098">
        <v>1.8</v>
      </c>
      <c r="N99" s="942"/>
      <c r="O99" s="2096"/>
      <c r="P99" s="941"/>
      <c r="Q99" s="937"/>
      <c r="R99" s="937">
        <f t="shared" ref="R99:S102" si="54">D99+F99+H99+J99+L99+N99+P99</f>
        <v>2.5000000000000001E-2</v>
      </c>
      <c r="S99" s="937">
        <f t="shared" si="54"/>
        <v>1.8</v>
      </c>
      <c r="T99" s="556">
        <f t="shared" si="52"/>
        <v>0</v>
      </c>
      <c r="U99" s="554"/>
      <c r="V99" s="580"/>
      <c r="W99" s="581"/>
      <c r="X99" s="582"/>
      <c r="Y99" s="581"/>
      <c r="Z99" s="581"/>
      <c r="AA99" s="583"/>
      <c r="AB99" s="584"/>
      <c r="AC99" s="585"/>
      <c r="AD99" s="585"/>
      <c r="AE99" s="585"/>
      <c r="AF99" s="585"/>
      <c r="AG99" s="585"/>
    </row>
    <row r="100" spans="1:37" s="586" customFormat="1" ht="9.75" customHeight="1">
      <c r="A100" s="2428" t="str">
        <f>A77</f>
        <v>рыбий жир</v>
      </c>
      <c r="B100" s="2429"/>
      <c r="C100" s="554">
        <f t="shared" si="50"/>
        <v>160449.375</v>
      </c>
      <c r="D100" s="2098">
        <f>N40</f>
        <v>1.6E-2</v>
      </c>
      <c r="E100" s="2098">
        <v>2.5671900000000001</v>
      </c>
      <c r="F100" s="937"/>
      <c r="G100" s="937"/>
      <c r="H100" s="939"/>
      <c r="I100" s="2096"/>
      <c r="J100" s="937"/>
      <c r="K100" s="937"/>
      <c r="L100" s="937"/>
      <c r="M100" s="937"/>
      <c r="N100" s="939"/>
      <c r="O100" s="2096"/>
      <c r="P100" s="937"/>
      <c r="Q100" s="937"/>
      <c r="R100" s="937">
        <f t="shared" si="54"/>
        <v>1.6E-2</v>
      </c>
      <c r="S100" s="937">
        <f t="shared" si="54"/>
        <v>2.5671900000000001</v>
      </c>
      <c r="T100" s="556">
        <f t="shared" si="52"/>
        <v>0</v>
      </c>
      <c r="U100" s="554"/>
      <c r="V100" s="580"/>
      <c r="W100" s="581"/>
      <c r="X100" s="582"/>
      <c r="Y100" s="581"/>
      <c r="Z100" s="581"/>
      <c r="AA100" s="583"/>
      <c r="AB100" s="584"/>
      <c r="AC100" s="585"/>
      <c r="AD100" s="585"/>
      <c r="AE100" s="585"/>
      <c r="AF100" s="585"/>
      <c r="AG100" s="585"/>
    </row>
    <row r="101" spans="1:37" s="586" customFormat="1" ht="9.75" customHeight="1">
      <c r="A101" s="2428" t="str">
        <f>A78</f>
        <v>ЗЦМ</v>
      </c>
      <c r="B101" s="2429"/>
      <c r="C101" s="554">
        <f t="shared" si="50"/>
        <v>132902.98701298703</v>
      </c>
      <c r="D101" s="2098"/>
      <c r="E101" s="2098"/>
      <c r="F101" s="937"/>
      <c r="G101" s="937"/>
      <c r="H101" s="939"/>
      <c r="I101" s="2096"/>
      <c r="J101" s="937"/>
      <c r="K101" s="937"/>
      <c r="L101" s="2098">
        <f>O52</f>
        <v>0.38500000000000001</v>
      </c>
      <c r="M101" s="2098">
        <v>51.167650000000002</v>
      </c>
      <c r="N101" s="939"/>
      <c r="O101" s="2096"/>
      <c r="P101" s="937"/>
      <c r="Q101" s="937"/>
      <c r="R101" s="937">
        <f t="shared" si="54"/>
        <v>0.38500000000000001</v>
      </c>
      <c r="S101" s="937">
        <f t="shared" si="54"/>
        <v>51.167650000000002</v>
      </c>
      <c r="T101" s="556">
        <f t="shared" si="52"/>
        <v>0</v>
      </c>
      <c r="U101" s="554"/>
      <c r="V101" s="580"/>
      <c r="W101" s="581"/>
      <c r="X101" s="582"/>
      <c r="Y101" s="581"/>
      <c r="Z101" s="581"/>
      <c r="AA101" s="583"/>
      <c r="AB101" s="584"/>
      <c r="AC101" s="585"/>
      <c r="AD101" s="585"/>
      <c r="AE101" s="585"/>
      <c r="AF101" s="585"/>
      <c r="AG101" s="585"/>
    </row>
    <row r="102" spans="1:37" s="586" customFormat="1" ht="9.75" customHeight="1">
      <c r="A102" s="2428" t="str">
        <f>A79</f>
        <v>сах. песок</v>
      </c>
      <c r="B102" s="2429"/>
      <c r="C102" s="554">
        <f t="shared" si="50"/>
        <v>73414.999999999985</v>
      </c>
      <c r="D102" s="2098">
        <f>P40</f>
        <v>1.6E-2</v>
      </c>
      <c r="E102" s="2098">
        <v>1.1746399999999999</v>
      </c>
      <c r="F102" s="937"/>
      <c r="G102" s="937"/>
      <c r="H102" s="939"/>
      <c r="I102" s="2096"/>
      <c r="J102" s="2099"/>
      <c r="K102" s="2099"/>
      <c r="L102" s="937"/>
      <c r="M102" s="937"/>
      <c r="N102" s="939"/>
      <c r="O102" s="2096"/>
      <c r="P102" s="937"/>
      <c r="Q102" s="937"/>
      <c r="R102" s="937">
        <f t="shared" si="54"/>
        <v>1.6E-2</v>
      </c>
      <c r="S102" s="937">
        <f t="shared" si="54"/>
        <v>1.1746399999999999</v>
      </c>
      <c r="T102" s="564"/>
      <c r="U102" s="554"/>
      <c r="V102" s="580"/>
      <c r="W102" s="581"/>
      <c r="X102" s="582"/>
      <c r="Y102" s="581"/>
      <c r="Z102" s="581"/>
      <c r="AA102" s="583"/>
      <c r="AB102" s="584"/>
      <c r="AC102" s="585"/>
      <c r="AD102" s="585"/>
      <c r="AE102" s="585"/>
      <c r="AF102" s="585"/>
      <c r="AG102" s="585"/>
    </row>
    <row r="103" spans="1:37" s="586" customFormat="1" ht="9.75" customHeight="1">
      <c r="A103" s="2428" t="s">
        <v>300</v>
      </c>
      <c r="B103" s="2429"/>
      <c r="C103" s="567"/>
      <c r="D103" s="941">
        <f>D100+D101+D102</f>
        <v>3.2000000000000001E-2</v>
      </c>
      <c r="E103" s="941">
        <f t="shared" ref="E103:S103" si="55">E100+E101+E102</f>
        <v>3.7418300000000002</v>
      </c>
      <c r="F103" s="941">
        <f t="shared" si="55"/>
        <v>0</v>
      </c>
      <c r="G103" s="941">
        <f t="shared" si="55"/>
        <v>0</v>
      </c>
      <c r="H103" s="941">
        <f t="shared" si="55"/>
        <v>0</v>
      </c>
      <c r="I103" s="941">
        <f t="shared" si="55"/>
        <v>0</v>
      </c>
      <c r="J103" s="941">
        <f t="shared" si="55"/>
        <v>0</v>
      </c>
      <c r="K103" s="941">
        <f t="shared" si="55"/>
        <v>0</v>
      </c>
      <c r="L103" s="941">
        <f t="shared" si="55"/>
        <v>0.38500000000000001</v>
      </c>
      <c r="M103" s="941">
        <f>M100+M101+M102+M99</f>
        <v>52.967649999999999</v>
      </c>
      <c r="N103" s="941">
        <f t="shared" si="55"/>
        <v>0</v>
      </c>
      <c r="O103" s="941">
        <f t="shared" si="55"/>
        <v>0</v>
      </c>
      <c r="P103" s="941">
        <f t="shared" si="55"/>
        <v>0</v>
      </c>
      <c r="Q103" s="941">
        <f t="shared" si="55"/>
        <v>0</v>
      </c>
      <c r="R103" s="941">
        <f t="shared" si="55"/>
        <v>0.41700000000000004</v>
      </c>
      <c r="S103" s="941">
        <f t="shared" si="55"/>
        <v>54.909480000000002</v>
      </c>
      <c r="T103" s="564"/>
      <c r="U103" s="554"/>
      <c r="V103" s="580"/>
      <c r="W103" s="581"/>
      <c r="X103" s="582"/>
      <c r="Y103" s="581"/>
      <c r="Z103" s="581"/>
      <c r="AA103" s="583"/>
      <c r="AB103" s="584"/>
      <c r="AC103" s="585"/>
      <c r="AD103" s="585"/>
      <c r="AE103" s="585"/>
      <c r="AF103" s="585"/>
      <c r="AG103" s="585"/>
    </row>
    <row r="104" spans="1:37" s="586" customFormat="1" ht="9.75" customHeight="1">
      <c r="A104" s="2430" t="str">
        <f>M38</f>
        <v>отруби</v>
      </c>
      <c r="B104" s="2431"/>
      <c r="C104" s="554" t="e">
        <f t="shared" si="50"/>
        <v>#DIV/0!</v>
      </c>
      <c r="D104" s="937"/>
      <c r="E104" s="937"/>
      <c r="F104" s="2098">
        <f>M43</f>
        <v>0.59199999999999997</v>
      </c>
      <c r="G104" s="2098">
        <v>5.7990700000000004</v>
      </c>
      <c r="H104" s="2170">
        <f>M46</f>
        <v>6.8000000000000005E-2</v>
      </c>
      <c r="I104" s="2171">
        <v>0.68047999999999997</v>
      </c>
      <c r="J104" s="937"/>
      <c r="K104" s="937"/>
      <c r="L104" s="943"/>
      <c r="M104" s="937"/>
      <c r="N104" s="939"/>
      <c r="O104" s="2096"/>
      <c r="P104" s="943"/>
      <c r="Q104" s="937"/>
      <c r="R104" s="937"/>
      <c r="S104" s="937">
        <f>E104+G104+I104+K104+M104+O104+Q104</f>
        <v>6.4795500000000006</v>
      </c>
      <c r="T104" s="556" t="e">
        <f>U104/R104/10</f>
        <v>#DIV/0!</v>
      </c>
      <c r="U104" s="554"/>
      <c r="V104" s="580"/>
      <c r="W104" s="581"/>
      <c r="X104" s="582"/>
      <c r="Y104" s="581"/>
      <c r="Z104" s="581"/>
      <c r="AA104" s="583"/>
      <c r="AB104" s="584"/>
      <c r="AC104" s="585"/>
      <c r="AD104" s="585"/>
      <c r="AE104" s="585"/>
      <c r="AF104" s="585"/>
      <c r="AG104" s="585"/>
    </row>
    <row r="105" spans="1:37" s="586" customFormat="1" ht="2.25" customHeight="1">
      <c r="A105" s="1605"/>
      <c r="B105" s="1606"/>
      <c r="C105" s="554"/>
      <c r="D105" s="587"/>
      <c r="E105" s="587"/>
      <c r="F105" s="587"/>
      <c r="G105" s="587"/>
      <c r="H105" s="1795"/>
      <c r="I105" s="1796"/>
      <c r="J105" s="587"/>
      <c r="K105" s="587"/>
      <c r="L105" s="1379"/>
      <c r="M105" s="587"/>
      <c r="N105" s="1795"/>
      <c r="O105" s="1796"/>
      <c r="P105" s="1379"/>
      <c r="Q105" s="587"/>
      <c r="R105" s="587"/>
      <c r="S105" s="587"/>
      <c r="T105" s="556"/>
      <c r="U105" s="554"/>
      <c r="V105" s="580"/>
      <c r="W105" s="581"/>
      <c r="X105" s="582"/>
      <c r="Y105" s="581"/>
      <c r="Z105" s="581"/>
      <c r="AA105" s="583"/>
      <c r="AB105" s="584"/>
      <c r="AC105" s="585"/>
      <c r="AD105" s="585"/>
      <c r="AE105" s="585"/>
      <c r="AF105" s="585"/>
      <c r="AG105" s="585"/>
    </row>
    <row r="106" spans="1:37" s="586" customFormat="1" ht="9.75" customHeight="1">
      <c r="A106" s="2434" t="s">
        <v>302</v>
      </c>
      <c r="B106" s="2434"/>
      <c r="C106" s="563"/>
      <c r="D106" s="943">
        <f>D98+D99+D103+D104</f>
        <v>10.352</v>
      </c>
      <c r="E106" s="943">
        <f t="shared" ref="E106:S106" si="56">E98+E99+E103+E104</f>
        <v>203.10588999999999</v>
      </c>
      <c r="F106" s="943">
        <f t="shared" si="56"/>
        <v>798.59499999999991</v>
      </c>
      <c r="G106" s="943">
        <f>G98+G99+G103+G104</f>
        <v>13963.38466</v>
      </c>
      <c r="H106" s="943">
        <f t="shared" si="56"/>
        <v>79.070999999999998</v>
      </c>
      <c r="I106" s="943">
        <f t="shared" si="56"/>
        <v>1403.3390399999998</v>
      </c>
      <c r="J106" s="943">
        <f t="shared" si="56"/>
        <v>194.21100000000001</v>
      </c>
      <c r="K106" s="943">
        <f t="shared" si="56"/>
        <v>3036.1344899999995</v>
      </c>
      <c r="L106" s="943">
        <f t="shared" si="56"/>
        <v>16.425999999999998</v>
      </c>
      <c r="M106" s="943">
        <f t="shared" si="56"/>
        <v>724.72799999999995</v>
      </c>
      <c r="N106" s="943">
        <f t="shared" si="56"/>
        <v>964.64499999999998</v>
      </c>
      <c r="O106" s="943">
        <f t="shared" si="56"/>
        <v>21701.834510000001</v>
      </c>
      <c r="P106" s="943">
        <f t="shared" si="56"/>
        <v>3993.8509999999997</v>
      </c>
      <c r="Q106" s="943">
        <f t="shared" si="56"/>
        <v>63121.354509999997</v>
      </c>
      <c r="R106" s="943">
        <f t="shared" si="56"/>
        <v>6056.4909999999991</v>
      </c>
      <c r="S106" s="943">
        <f t="shared" si="56"/>
        <v>104152.08110000001</v>
      </c>
      <c r="T106" s="563"/>
      <c r="U106" s="563">
        <f>SUM(U91:U104)</f>
        <v>0</v>
      </c>
      <c r="V106" s="582"/>
      <c r="W106" s="581"/>
      <c r="X106" s="582"/>
      <c r="Y106" s="581"/>
      <c r="Z106" s="581"/>
      <c r="AA106" s="581"/>
      <c r="AB106" s="581"/>
      <c r="AC106" s="581"/>
      <c r="AD106" s="581"/>
      <c r="AE106" s="581"/>
      <c r="AF106" s="581"/>
      <c r="AG106" s="581"/>
    </row>
    <row r="107" spans="1:37" s="586" customFormat="1" ht="9.75" hidden="1" customHeight="1" outlineLevel="1">
      <c r="A107" s="588"/>
      <c r="B107" s="588"/>
      <c r="C107" s="589"/>
      <c r="D107" s="590"/>
      <c r="E107" s="590"/>
      <c r="F107" s="590"/>
      <c r="G107" s="590"/>
      <c r="H107" s="590"/>
      <c r="I107" s="590"/>
      <c r="J107" s="590"/>
      <c r="K107" s="590"/>
      <c r="L107" s="590"/>
      <c r="M107" s="590"/>
      <c r="N107" s="590"/>
      <c r="O107" s="590"/>
      <c r="P107" s="590"/>
      <c r="Q107" s="590"/>
      <c r="R107" s="590"/>
      <c r="S107" s="590"/>
      <c r="T107" s="589"/>
      <c r="U107" s="589"/>
      <c r="V107" s="582"/>
      <c r="W107" s="581"/>
      <c r="X107" s="582"/>
      <c r="Y107" s="581"/>
      <c r="Z107" s="581"/>
      <c r="AA107" s="581"/>
      <c r="AB107" s="581"/>
      <c r="AC107" s="581"/>
      <c r="AD107" s="581"/>
      <c r="AE107" s="581"/>
      <c r="AF107" s="581"/>
      <c r="AG107" s="581"/>
    </row>
    <row r="108" spans="1:37" s="586" customFormat="1" ht="9.75" hidden="1" customHeight="1" outlineLevel="1">
      <c r="A108" s="2347" t="s">
        <v>429</v>
      </c>
      <c r="B108" s="2347"/>
      <c r="C108" s="563"/>
      <c r="D108" s="576"/>
      <c r="E108" s="576" t="e">
        <f>E106/D108*10</f>
        <v>#DIV/0!</v>
      </c>
      <c r="F108" s="576"/>
      <c r="G108" s="576" t="e">
        <f>G106/F108*10</f>
        <v>#DIV/0!</v>
      </c>
      <c r="H108" s="576"/>
      <c r="I108" s="576" t="e">
        <f>I106/H108*10</f>
        <v>#DIV/0!</v>
      </c>
      <c r="J108" s="576"/>
      <c r="K108" s="576" t="e">
        <f>K106/J108*10</f>
        <v>#DIV/0!</v>
      </c>
      <c r="L108" s="576"/>
      <c r="M108" s="576" t="e">
        <f>M106/L108*10</f>
        <v>#DIV/0!</v>
      </c>
      <c r="N108" s="576"/>
      <c r="O108" s="576" t="e">
        <f>O106/N108*10</f>
        <v>#DIV/0!</v>
      </c>
      <c r="P108" s="576"/>
      <c r="Q108" s="576" t="e">
        <f>Q106/P108*10</f>
        <v>#DIV/0!</v>
      </c>
      <c r="R108" s="553">
        <f>D108+F108+H108+J108+L108+N108+P108</f>
        <v>0</v>
      </c>
      <c r="S108" s="576" t="e">
        <f>S106/R108*10</f>
        <v>#DIV/0!</v>
      </c>
      <c r="T108" s="563"/>
      <c r="U108" s="563"/>
      <c r="V108" s="582"/>
      <c r="W108" s="581"/>
      <c r="X108" s="582"/>
      <c r="Y108" s="581"/>
      <c r="Z108" s="581"/>
      <c r="AA108" s="581"/>
      <c r="AB108" s="581"/>
      <c r="AC108" s="581"/>
      <c r="AD108" s="581"/>
      <c r="AE108" s="581"/>
      <c r="AF108" s="581"/>
      <c r="AG108" s="581"/>
    </row>
    <row r="109" spans="1:37" s="586" customFormat="1" ht="8.25" collapsed="1">
      <c r="C109" s="582"/>
      <c r="E109" s="580"/>
      <c r="F109" s="580"/>
      <c r="G109" s="580"/>
      <c r="H109" s="580"/>
      <c r="I109" s="580"/>
      <c r="J109" s="580"/>
      <c r="K109" s="580"/>
      <c r="L109" s="580"/>
      <c r="N109" s="582"/>
      <c r="O109" s="580"/>
      <c r="P109" s="582"/>
      <c r="Q109" s="581"/>
      <c r="R109" s="580"/>
      <c r="T109" s="582"/>
      <c r="U109" s="581"/>
      <c r="V109" s="580"/>
      <c r="X109" s="580"/>
      <c r="AA109" s="580"/>
      <c r="AB109" s="581"/>
      <c r="AC109" s="580"/>
      <c r="AD109" s="581"/>
      <c r="AE109" s="581"/>
      <c r="AF109" s="585"/>
      <c r="AG109" s="585"/>
      <c r="AH109" s="585"/>
      <c r="AI109" s="585"/>
      <c r="AJ109" s="585"/>
      <c r="AK109" s="585"/>
    </row>
    <row r="113" spans="18:20" ht="9.75" customHeight="1" outlineLevel="1"/>
    <row r="114" spans="18:20" ht="9.75" customHeight="1" outlineLevel="1"/>
    <row r="115" spans="18:20" ht="9.75" customHeight="1" outlineLevel="1"/>
    <row r="116" spans="18:20" ht="9.75" customHeight="1" outlineLevel="1"/>
    <row r="117" spans="18:20" ht="9.75" customHeight="1" outlineLevel="1"/>
    <row r="118" spans="18:20" ht="9.75" customHeight="1" outlineLevel="1"/>
    <row r="119" spans="18:20" ht="9.75" customHeight="1" outlineLevel="1"/>
    <row r="120" spans="18:20" ht="9.75" customHeight="1" outlineLevel="1"/>
    <row r="121" spans="18:20" ht="9.75" customHeight="1" outlineLevel="1"/>
    <row r="122" spans="18:20" ht="9.75" customHeight="1" outlineLevel="1"/>
    <row r="123" spans="18:20" ht="7.5" customHeight="1"/>
    <row r="124" spans="18:20" ht="17.25" customHeight="1">
      <c r="R124" s="473" t="s">
        <v>425</v>
      </c>
    </row>
    <row r="125" spans="18:20" ht="17.25" customHeight="1">
      <c r="R125" s="473" t="s">
        <v>12</v>
      </c>
      <c r="S125" s="475" t="s">
        <v>631</v>
      </c>
      <c r="T125" s="474" t="s">
        <v>536</v>
      </c>
    </row>
    <row r="127" spans="18:20" ht="17.25" customHeight="1">
      <c r="R127" s="473">
        <v>0</v>
      </c>
      <c r="S127" s="475">
        <v>347.82814785919328</v>
      </c>
      <c r="T127" s="474">
        <v>0</v>
      </c>
    </row>
    <row r="128" spans="18:20" ht="17.25" customHeight="1">
      <c r="R128" s="473">
        <v>0</v>
      </c>
      <c r="T128" s="474">
        <v>0</v>
      </c>
    </row>
    <row r="130" spans="18:20" ht="17.25" customHeight="1">
      <c r="R130" s="473">
        <v>6.1</v>
      </c>
      <c r="S130" s="475">
        <v>173.43760801777881</v>
      </c>
      <c r="T130" s="474">
        <v>1057.9694089084508</v>
      </c>
    </row>
    <row r="131" spans="18:20" ht="17.25" customHeight="1">
      <c r="R131" s="473">
        <v>1.925</v>
      </c>
      <c r="S131" s="475">
        <v>168.4020846775382</v>
      </c>
      <c r="T131" s="474">
        <v>324.17401300426104</v>
      </c>
    </row>
    <row r="132" spans="18:20" ht="17.25" customHeight="1">
      <c r="R132" s="473">
        <v>279.71999999999997</v>
      </c>
      <c r="S132" s="475">
        <v>161.52491825778918</v>
      </c>
      <c r="T132" s="474">
        <v>45181.750135068782</v>
      </c>
    </row>
    <row r="133" spans="18:20" ht="17.25" customHeight="1">
      <c r="R133" s="473">
        <v>1.4000000000000001</v>
      </c>
      <c r="S133" s="475">
        <v>170.62668288992313</v>
      </c>
      <c r="T133" s="474">
        <v>238.87735604589241</v>
      </c>
    </row>
    <row r="134" spans="18:20" ht="17.25" customHeight="1">
      <c r="R134" s="473">
        <v>1.5</v>
      </c>
      <c r="S134" s="475">
        <v>146.66666666666666</v>
      </c>
      <c r="T134" s="474">
        <v>220</v>
      </c>
    </row>
    <row r="135" spans="18:20" ht="17.25" customHeight="1">
      <c r="R135" s="473">
        <v>290.64499999999992</v>
      </c>
      <c r="T135" s="474">
        <v>47022.770913027387</v>
      </c>
    </row>
  </sheetData>
  <mergeCells count="112">
    <mergeCell ref="A103:B103"/>
    <mergeCell ref="A104:B104"/>
    <mergeCell ref="A106:B106"/>
    <mergeCell ref="A108:B108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B95"/>
    <mergeCell ref="A96:B96"/>
    <mergeCell ref="N88:O88"/>
    <mergeCell ref="P88:Q88"/>
    <mergeCell ref="R88:S88"/>
    <mergeCell ref="T88:T90"/>
    <mergeCell ref="U88:U90"/>
    <mergeCell ref="A90:B90"/>
    <mergeCell ref="A88:B89"/>
    <mergeCell ref="D88:E88"/>
    <mergeCell ref="F88:G88"/>
    <mergeCell ref="H88:I88"/>
    <mergeCell ref="J88:K88"/>
    <mergeCell ref="L88:M88"/>
    <mergeCell ref="A78:B78"/>
    <mergeCell ref="A79:B79"/>
    <mergeCell ref="A80:B80"/>
    <mergeCell ref="A81:B81"/>
    <mergeCell ref="A83:B83"/>
    <mergeCell ref="A85:B85"/>
    <mergeCell ref="A72:B72"/>
    <mergeCell ref="A73:B73"/>
    <mergeCell ref="A74:B74"/>
    <mergeCell ref="A75:B75"/>
    <mergeCell ref="A76:B76"/>
    <mergeCell ref="A77:B77"/>
    <mergeCell ref="U65:U67"/>
    <mergeCell ref="A67:B67"/>
    <mergeCell ref="A68:B68"/>
    <mergeCell ref="A69:B69"/>
    <mergeCell ref="A70:B70"/>
    <mergeCell ref="A71:B71"/>
    <mergeCell ref="J65:K65"/>
    <mergeCell ref="L65:M65"/>
    <mergeCell ref="N65:O65"/>
    <mergeCell ref="P65:Q65"/>
    <mergeCell ref="R65:S65"/>
    <mergeCell ref="T65:T67"/>
    <mergeCell ref="B61:C61"/>
    <mergeCell ref="B62:C62"/>
    <mergeCell ref="A65:B66"/>
    <mergeCell ref="D65:E65"/>
    <mergeCell ref="F65:G65"/>
    <mergeCell ref="H65:I65"/>
    <mergeCell ref="B55:C55"/>
    <mergeCell ref="B56:C56"/>
    <mergeCell ref="B57:C57"/>
    <mergeCell ref="B58:C58"/>
    <mergeCell ref="B59:C59"/>
    <mergeCell ref="B60:C60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M5:N5"/>
    <mergeCell ref="O5:P5"/>
    <mergeCell ref="Q5:R5"/>
    <mergeCell ref="S5:T5"/>
    <mergeCell ref="B49:C49"/>
    <mergeCell ref="B37:C38"/>
    <mergeCell ref="D37:M37"/>
    <mergeCell ref="N37:P37"/>
    <mergeCell ref="Q37:Q38"/>
    <mergeCell ref="R37:R38"/>
    <mergeCell ref="AC3:AC5"/>
    <mergeCell ref="AD3:AD5"/>
    <mergeCell ref="AE3:AH3"/>
    <mergeCell ref="S37:S38"/>
    <mergeCell ref="T37:T38"/>
    <mergeCell ref="AI3:AI5"/>
    <mergeCell ref="D4:L4"/>
    <mergeCell ref="M4:V4"/>
    <mergeCell ref="AA4:AA5"/>
    <mergeCell ref="AB4:AB5"/>
    <mergeCell ref="AE4:AE5"/>
    <mergeCell ref="AF4:AH4"/>
    <mergeCell ref="A3:A6"/>
    <mergeCell ref="B3:C5"/>
    <mergeCell ref="D3:V3"/>
    <mergeCell ref="W3:X5"/>
    <mergeCell ref="Y3:Z5"/>
    <mergeCell ref="AA3:AB3"/>
    <mergeCell ref="D5:E5"/>
    <mergeCell ref="F5:G5"/>
    <mergeCell ref="H5:I5"/>
    <mergeCell ref="J5:K5"/>
    <mergeCell ref="U5:V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AP131"/>
  <sheetViews>
    <sheetView tabSelected="1" workbookViewId="0">
      <pane xSplit="1" ySplit="6" topLeftCell="K34" activePane="bottomRight" state="frozen"/>
      <selection pane="topRight" activeCell="B1" sqref="B1"/>
      <selection pane="bottomLeft" activeCell="A7" sqref="A7"/>
      <selection pane="bottomRight" activeCell="N29" sqref="N29"/>
    </sheetView>
  </sheetViews>
  <sheetFormatPr defaultColWidth="4.42578125" defaultRowHeight="15" customHeight="1" outlineLevelRow="2" outlineLevelCol="1"/>
  <cols>
    <col min="1" max="1" width="11.42578125" style="472" customWidth="1"/>
    <col min="2" max="2" width="4.5703125" style="472" customWidth="1"/>
    <col min="3" max="3" width="5.42578125" style="473" customWidth="1"/>
    <col min="4" max="4" width="5.140625" style="472" customWidth="1"/>
    <col min="5" max="5" width="4.85546875" style="474" customWidth="1"/>
    <col min="6" max="6" width="5.5703125" style="474" customWidth="1"/>
    <col min="7" max="7" width="6.85546875" style="474" customWidth="1"/>
    <col min="8" max="8" width="6" style="474" customWidth="1"/>
    <col min="9" max="9" width="5.140625" style="474" customWidth="1"/>
    <col min="10" max="10" width="5.5703125" style="1770" customWidth="1"/>
    <col min="11" max="11" width="5.42578125" style="474" customWidth="1"/>
    <col min="12" max="12" width="6" style="474" customWidth="1"/>
    <col min="13" max="13" width="4.7109375" style="474" customWidth="1"/>
    <col min="14" max="14" width="5.7109375" style="474" customWidth="1"/>
    <col min="15" max="16" width="6" style="474" customWidth="1"/>
    <col min="17" max="17" width="5.85546875" style="472" customWidth="1"/>
    <col min="18" max="18" width="5.42578125" style="473" customWidth="1"/>
    <col min="19" max="19" width="4.28515625" style="474" customWidth="1"/>
    <col min="20" max="20" width="5.140625" style="473" customWidth="1"/>
    <col min="21" max="21" width="4.5703125" style="475" customWidth="1"/>
    <col min="22" max="22" width="4.42578125" style="474" customWidth="1"/>
    <col min="23" max="23" width="5.28515625" style="472" customWidth="1"/>
    <col min="24" max="24" width="6.28515625" style="473" customWidth="1"/>
    <col min="25" max="25" width="6" style="475" customWidth="1"/>
    <col min="26" max="26" width="5.5703125" style="474" customWidth="1"/>
    <col min="27" max="27" width="5.28515625" style="472" customWidth="1"/>
    <col min="28" max="28" width="5.28515625" style="474" customWidth="1"/>
    <col min="29" max="29" width="5.28515625" style="1770" customWidth="1"/>
    <col min="30" max="30" width="5.7109375" style="1770" customWidth="1"/>
    <col min="31" max="31" width="5.140625" style="474" customWidth="1"/>
    <col min="32" max="32" width="3.5703125" style="475" customWidth="1"/>
    <col min="33" max="33" width="4.5703125" style="474" customWidth="1"/>
    <col min="34" max="34" width="4.5703125" style="475" customWidth="1" outlineLevel="1"/>
    <col min="35" max="35" width="3.85546875" style="475" customWidth="1" outlineLevel="1"/>
    <col min="36" max="36" width="4.85546875" style="476" customWidth="1" outlineLevel="1"/>
    <col min="37" max="37" width="3.7109375" style="476" customWidth="1"/>
    <col min="38" max="38" width="5.5703125" style="476" customWidth="1"/>
    <col min="39" max="39" width="5" style="476" hidden="1" customWidth="1" outlineLevel="1"/>
    <col min="40" max="40" width="5.28515625" style="476" hidden="1" customWidth="1" outlineLevel="1"/>
    <col min="41" max="41" width="4.85546875" style="476" hidden="1" customWidth="1" outlineLevel="1"/>
    <col min="42" max="42" width="4.42578125" style="472" collapsed="1"/>
    <col min="43" max="16384" width="4.42578125" style="472"/>
  </cols>
  <sheetData>
    <row r="1" spans="1:41" ht="15" customHeight="1">
      <c r="A1" s="471" t="s">
        <v>656</v>
      </c>
    </row>
    <row r="2" spans="1:41" s="471" customFormat="1" ht="15.75" customHeight="1" thickBot="1">
      <c r="A2" s="471" t="s">
        <v>435</v>
      </c>
      <c r="C2" s="477"/>
      <c r="E2" s="478"/>
      <c r="F2" s="478"/>
      <c r="G2" s="478"/>
      <c r="H2" s="478"/>
      <c r="I2" s="478"/>
      <c r="J2" s="1771"/>
      <c r="K2" s="478"/>
      <c r="L2" s="478"/>
      <c r="M2" s="478"/>
      <c r="N2" s="478"/>
      <c r="P2" s="477"/>
      <c r="Q2" s="478"/>
      <c r="R2" s="477"/>
      <c r="S2" s="479"/>
      <c r="T2" s="478"/>
      <c r="V2" s="477"/>
      <c r="W2" s="479"/>
      <c r="X2" s="478"/>
      <c r="Z2" s="478"/>
      <c r="AC2" s="1771"/>
      <c r="AD2" s="1771"/>
      <c r="AE2" s="478"/>
      <c r="AF2" s="479"/>
      <c r="AG2" s="479"/>
      <c r="AH2" s="480"/>
      <c r="AI2" s="480"/>
      <c r="AJ2" s="480"/>
      <c r="AK2" s="480"/>
      <c r="AL2" s="480"/>
      <c r="AM2" s="480"/>
    </row>
    <row r="3" spans="1:41" s="221" customFormat="1" ht="15" customHeight="1" thickBot="1">
      <c r="A3" s="2378" t="s">
        <v>0</v>
      </c>
      <c r="B3" s="2381" t="s">
        <v>1</v>
      </c>
      <c r="C3" s="2382"/>
      <c r="D3" s="2453" t="s">
        <v>19</v>
      </c>
      <c r="E3" s="2454"/>
      <c r="F3" s="2454"/>
      <c r="G3" s="2454"/>
      <c r="H3" s="2454"/>
      <c r="I3" s="2454"/>
      <c r="J3" s="2454"/>
      <c r="K3" s="2454"/>
      <c r="L3" s="2454"/>
      <c r="M3" s="2454"/>
      <c r="N3" s="2454"/>
      <c r="O3" s="2454"/>
      <c r="P3" s="2454"/>
      <c r="Q3" s="2454"/>
      <c r="R3" s="2454"/>
      <c r="S3" s="2454"/>
      <c r="T3" s="2454"/>
      <c r="U3" s="2454"/>
      <c r="V3" s="2454"/>
      <c r="W3" s="2454"/>
      <c r="X3" s="2455"/>
      <c r="Y3" s="2381" t="s">
        <v>2</v>
      </c>
      <c r="Z3" s="2382"/>
      <c r="AA3" s="2390" t="s">
        <v>3</v>
      </c>
      <c r="AB3" s="2391"/>
      <c r="AC3" s="2496" t="s">
        <v>4</v>
      </c>
      <c r="AD3" s="2497"/>
      <c r="AE3" s="2511" t="s">
        <v>20</v>
      </c>
      <c r="AF3" s="2519" t="s">
        <v>21</v>
      </c>
      <c r="AG3" s="2521" t="s">
        <v>22</v>
      </c>
      <c r="AH3" s="2365"/>
      <c r="AI3" s="2474"/>
      <c r="AJ3" s="2456" t="s">
        <v>23</v>
      </c>
      <c r="AM3" s="2487" t="s">
        <v>534</v>
      </c>
      <c r="AN3" s="2487"/>
      <c r="AO3" s="2487"/>
    </row>
    <row r="4" spans="1:41" s="221" customFormat="1" ht="15" customHeight="1" thickBot="1">
      <c r="A4" s="2379"/>
      <c r="B4" s="2383"/>
      <c r="C4" s="2384"/>
      <c r="D4" s="2488" t="s">
        <v>5</v>
      </c>
      <c r="E4" s="2489"/>
      <c r="F4" s="2489"/>
      <c r="G4" s="2489"/>
      <c r="H4" s="2489"/>
      <c r="I4" s="2489"/>
      <c r="J4" s="2489"/>
      <c r="K4" s="2489"/>
      <c r="L4" s="2490"/>
      <c r="M4" s="2491" t="s">
        <v>6</v>
      </c>
      <c r="N4" s="2489"/>
      <c r="O4" s="2489"/>
      <c r="P4" s="2489"/>
      <c r="Q4" s="2489"/>
      <c r="R4" s="2489"/>
      <c r="S4" s="2489"/>
      <c r="T4" s="2489"/>
      <c r="U4" s="2489"/>
      <c r="V4" s="2489"/>
      <c r="W4" s="2489"/>
      <c r="X4" s="2490"/>
      <c r="Y4" s="2383"/>
      <c r="Z4" s="2384"/>
      <c r="AA4" s="2392"/>
      <c r="AB4" s="2393"/>
      <c r="AC4" s="2492" t="s">
        <v>418</v>
      </c>
      <c r="AD4" s="2493" t="s">
        <v>419</v>
      </c>
      <c r="AE4" s="2512"/>
      <c r="AF4" s="2520"/>
      <c r="AG4" s="2494" t="s">
        <v>24</v>
      </c>
      <c r="AH4" s="2498" t="s">
        <v>25</v>
      </c>
      <c r="AI4" s="2499"/>
      <c r="AJ4" s="2457"/>
      <c r="AM4" s="221" t="s">
        <v>0</v>
      </c>
      <c r="AN4" s="221" t="s">
        <v>535</v>
      </c>
      <c r="AO4" s="221" t="s">
        <v>536</v>
      </c>
    </row>
    <row r="5" spans="1:41" ht="20.25" customHeight="1">
      <c r="A5" s="2379"/>
      <c r="B5" s="2383"/>
      <c r="C5" s="2384"/>
      <c r="D5" s="2500" t="s">
        <v>26</v>
      </c>
      <c r="E5" s="2501"/>
      <c r="F5" s="2502" t="s">
        <v>7</v>
      </c>
      <c r="G5" s="2501"/>
      <c r="H5" s="2503" t="s">
        <v>433</v>
      </c>
      <c r="I5" s="2503"/>
      <c r="J5" s="2504" t="s">
        <v>27</v>
      </c>
      <c r="K5" s="2505"/>
      <c r="L5" s="613" t="s">
        <v>8</v>
      </c>
      <c r="M5" s="2506" t="s">
        <v>28</v>
      </c>
      <c r="N5" s="2507"/>
      <c r="O5" s="2508" t="s">
        <v>434</v>
      </c>
      <c r="P5" s="2508"/>
      <c r="Q5" s="2509" t="s">
        <v>29</v>
      </c>
      <c r="R5" s="2510"/>
      <c r="S5" s="2515" t="s">
        <v>30</v>
      </c>
      <c r="T5" s="2516"/>
      <c r="U5" s="2517" t="s">
        <v>9</v>
      </c>
      <c r="V5" s="2518"/>
      <c r="W5" s="2513" t="s">
        <v>31</v>
      </c>
      <c r="X5" s="2514"/>
      <c r="Y5" s="2383"/>
      <c r="Z5" s="2384"/>
      <c r="AA5" s="2392"/>
      <c r="AB5" s="2393"/>
      <c r="AC5" s="2492"/>
      <c r="AD5" s="2493"/>
      <c r="AE5" s="2512"/>
      <c r="AF5" s="2520"/>
      <c r="AG5" s="2495"/>
      <c r="AH5" s="614" t="s">
        <v>506</v>
      </c>
      <c r="AI5" s="615" t="s">
        <v>309</v>
      </c>
      <c r="AJ5" s="2457"/>
      <c r="AK5" s="472"/>
      <c r="AL5" s="472"/>
      <c r="AM5" s="472" t="s">
        <v>322</v>
      </c>
      <c r="AN5" s="472"/>
      <c r="AO5" s="472">
        <f>AN5*V25</f>
        <v>0</v>
      </c>
    </row>
    <row r="6" spans="1:41" ht="15" customHeight="1" thickBot="1">
      <c r="A6" s="2452"/>
      <c r="B6" s="616" t="s">
        <v>10</v>
      </c>
      <c r="C6" s="617" t="s">
        <v>11</v>
      </c>
      <c r="D6" s="618" t="s">
        <v>10</v>
      </c>
      <c r="E6" s="619" t="s">
        <v>11</v>
      </c>
      <c r="F6" s="620" t="s">
        <v>10</v>
      </c>
      <c r="G6" s="619" t="s">
        <v>33</v>
      </c>
      <c r="H6" s="621" t="s">
        <v>10</v>
      </c>
      <c r="I6" s="622" t="s">
        <v>33</v>
      </c>
      <c r="J6" s="2072" t="s">
        <v>10</v>
      </c>
      <c r="K6" s="619" t="s">
        <v>33</v>
      </c>
      <c r="L6" s="623" t="s">
        <v>33</v>
      </c>
      <c r="M6" s="616" t="s">
        <v>10</v>
      </c>
      <c r="N6" s="619" t="s">
        <v>11</v>
      </c>
      <c r="O6" s="618" t="s">
        <v>10</v>
      </c>
      <c r="P6" s="622" t="s">
        <v>11</v>
      </c>
      <c r="Q6" s="624" t="s">
        <v>10</v>
      </c>
      <c r="R6" s="617" t="s">
        <v>11</v>
      </c>
      <c r="S6" s="618" t="s">
        <v>10</v>
      </c>
      <c r="T6" s="625" t="s">
        <v>11</v>
      </c>
      <c r="U6" s="624" t="s">
        <v>10</v>
      </c>
      <c r="V6" s="619" t="s">
        <v>11</v>
      </c>
      <c r="W6" s="618" t="s">
        <v>10</v>
      </c>
      <c r="X6" s="622" t="s">
        <v>11</v>
      </c>
      <c r="Y6" s="616" t="s">
        <v>10</v>
      </c>
      <c r="Z6" s="619" t="s">
        <v>11</v>
      </c>
      <c r="AA6" s="626" t="s">
        <v>10</v>
      </c>
      <c r="AB6" s="622" t="s">
        <v>11</v>
      </c>
      <c r="AC6" s="1772"/>
      <c r="AD6" s="1773"/>
      <c r="AE6" s="627" t="s">
        <v>13</v>
      </c>
      <c r="AF6" s="628" t="s">
        <v>14</v>
      </c>
      <c r="AG6" s="629" t="s">
        <v>15</v>
      </c>
      <c r="AH6" s="630" t="s">
        <v>15</v>
      </c>
      <c r="AI6" s="631" t="s">
        <v>15</v>
      </c>
      <c r="AJ6" s="632" t="s">
        <v>314</v>
      </c>
      <c r="AK6" s="472"/>
      <c r="AL6" s="472"/>
      <c r="AM6" s="472" t="s">
        <v>323</v>
      </c>
      <c r="AN6" s="472"/>
      <c r="AO6" s="472">
        <f>AN6*V28</f>
        <v>0</v>
      </c>
    </row>
    <row r="7" spans="1:41" ht="15" customHeight="1">
      <c r="A7" s="499" t="s">
        <v>34</v>
      </c>
      <c r="B7" s="502">
        <f>'[1]св-во Шув-2'!B7</f>
        <v>9</v>
      </c>
      <c r="C7" s="697">
        <f>'[1]св-во Шув-2'!C7</f>
        <v>1.8560000000000001</v>
      </c>
      <c r="D7" s="502"/>
      <c r="E7" s="697"/>
      <c r="F7" s="502"/>
      <c r="G7" s="697"/>
      <c r="H7" s="502">
        <f>'[1]св-во Шув-2'!H7+'[2]св-во Шув-2'!H7</f>
        <v>0</v>
      </c>
      <c r="I7" s="1817">
        <f>'[1]св-во Шув-2'!I7+'[2]св-во Шув-2'!I7</f>
        <v>0</v>
      </c>
      <c r="J7" s="502">
        <f>'[1]св-во Шув-2'!J7+'[2]св-во Шув-2'!J7</f>
        <v>0</v>
      </c>
      <c r="K7" s="1593">
        <f>'[1]св-во Шув-2'!K7+'[2]св-во Шув-2'!K7</f>
        <v>0</v>
      </c>
      <c r="L7" s="1593"/>
      <c r="M7" s="502"/>
      <c r="N7" s="697"/>
      <c r="O7" s="502"/>
      <c r="P7" s="697"/>
      <c r="Q7" s="502"/>
      <c r="R7" s="697"/>
      <c r="S7" s="502"/>
      <c r="T7" s="697"/>
      <c r="U7" s="502">
        <f>'[1]св-во Шув-2'!U7+'[2]св-во Шув-2'!U7</f>
        <v>3</v>
      </c>
      <c r="V7" s="1817">
        <f>'[1]св-во Шув-2'!V7+'[2]св-во Шув-2'!V7</f>
        <v>0.54</v>
      </c>
      <c r="W7" s="502"/>
      <c r="X7" s="697"/>
      <c r="Y7" s="502">
        <f>B7+D7+H7+F7+J7-M7-O7-Q7-S7-U7-W7</f>
        <v>6</v>
      </c>
      <c r="Z7" s="503">
        <f>C7+E7+G7+I7+K7+L7-N7-P7-R7-T7-V7-X7</f>
        <v>1.3160000000000001</v>
      </c>
      <c r="AA7" s="500">
        <f>AD7/90</f>
        <v>33.322222222222223</v>
      </c>
      <c r="AB7" s="501">
        <f>(Z7+C7)/(Y7+B7)*AA7</f>
        <v>7.0465392592592595</v>
      </c>
      <c r="AC7" s="1256"/>
      <c r="AD7" s="1768">
        <f>'[1]св-во Шув-2'!AD7+'[2]св-во Шув-2'!AD7</f>
        <v>2999</v>
      </c>
      <c r="AE7" s="633"/>
      <c r="AF7" s="634">
        <v>3.3</v>
      </c>
      <c r="AG7" s="506">
        <f>AD7*AF7/1000</f>
        <v>9.8966999999999992</v>
      </c>
      <c r="AH7" s="507">
        <f>AG7</f>
        <v>9.8966999999999992</v>
      </c>
      <c r="AI7" s="508">
        <v>0</v>
      </c>
      <c r="AJ7" s="509">
        <v>0.3</v>
      </c>
      <c r="AK7" s="472"/>
      <c r="AL7" s="472"/>
      <c r="AM7" s="472" t="s">
        <v>352</v>
      </c>
      <c r="AN7" s="472"/>
      <c r="AO7" s="472">
        <f>(V10+V19+V22)*AN7</f>
        <v>0</v>
      </c>
    </row>
    <row r="8" spans="1:41" ht="15" customHeight="1" outlineLevel="1">
      <c r="A8" s="510" t="s">
        <v>16</v>
      </c>
      <c r="B8" s="2154">
        <v>9</v>
      </c>
      <c r="C8" s="2155">
        <v>1.8560000000000001</v>
      </c>
      <c r="D8" s="730"/>
      <c r="E8" s="731"/>
      <c r="F8" s="730"/>
      <c r="G8" s="731"/>
      <c r="H8" s="2158">
        <v>1</v>
      </c>
      <c r="I8" s="2159">
        <v>0.24</v>
      </c>
      <c r="J8" s="2156">
        <v>3</v>
      </c>
      <c r="K8" s="2157">
        <v>0.70799999999999996</v>
      </c>
      <c r="L8" s="1594"/>
      <c r="M8" s="730"/>
      <c r="N8" s="731"/>
      <c r="O8" s="730"/>
      <c r="P8" s="731"/>
      <c r="Q8" s="730"/>
      <c r="R8" s="731"/>
      <c r="S8" s="730"/>
      <c r="T8" s="731"/>
      <c r="U8" s="2158">
        <v>4</v>
      </c>
      <c r="V8" s="2159">
        <v>1.292</v>
      </c>
      <c r="W8" s="730"/>
      <c r="X8" s="731"/>
      <c r="Y8" s="513">
        <f>B8+D8+H8+F8+J8-M8-O8-Q8-S8-U8-W8</f>
        <v>9</v>
      </c>
      <c r="Z8" s="514">
        <f>C8+E8+G8+I8+K8+L8-N8-P8-R8-T8-V8-X8</f>
        <v>1.5120000000000002</v>
      </c>
      <c r="AA8" s="511">
        <f>AD8/90</f>
        <v>37.62222222222222</v>
      </c>
      <c r="AB8" s="512">
        <f>(Z8+C8)/(Y8+B8)*AA8</f>
        <v>7.0395358024691355</v>
      </c>
      <c r="AC8" s="1769"/>
      <c r="AD8" s="2160">
        <v>3386</v>
      </c>
      <c r="AE8" s="635"/>
      <c r="AF8" s="906">
        <f>AG8/AD8*1000</f>
        <v>3.3650324867099823</v>
      </c>
      <c r="AG8" s="516">
        <f>SUM(AH8:AI8)</f>
        <v>11.394</v>
      </c>
      <c r="AH8" s="517">
        <f>K51</f>
        <v>11.394</v>
      </c>
      <c r="AI8" s="517">
        <f>L51</f>
        <v>0</v>
      </c>
      <c r="AJ8" s="519">
        <f>E119</f>
        <v>0</v>
      </c>
      <c r="AK8" s="472"/>
      <c r="AL8" s="472"/>
      <c r="AM8" s="472"/>
      <c r="AN8" s="472"/>
      <c r="AO8" s="472"/>
    </row>
    <row r="9" spans="1:41" ht="15" customHeight="1" outlineLevel="1" thickBot="1">
      <c r="A9" s="636" t="s">
        <v>17</v>
      </c>
      <c r="B9" s="722">
        <f t="shared" ref="B9:AJ9" si="0">B8-B7</f>
        <v>0</v>
      </c>
      <c r="C9" s="694">
        <f t="shared" si="0"/>
        <v>0</v>
      </c>
      <c r="D9" s="722">
        <f t="shared" si="0"/>
        <v>0</v>
      </c>
      <c r="E9" s="694">
        <f t="shared" si="0"/>
        <v>0</v>
      </c>
      <c r="F9" s="693">
        <f t="shared" si="0"/>
        <v>0</v>
      </c>
      <c r="G9" s="644">
        <f t="shared" si="0"/>
        <v>0</v>
      </c>
      <c r="H9" s="695">
        <f t="shared" si="0"/>
        <v>1</v>
      </c>
      <c r="I9" s="646">
        <f t="shared" si="0"/>
        <v>0.24</v>
      </c>
      <c r="J9" s="1774">
        <f t="shared" si="0"/>
        <v>3</v>
      </c>
      <c r="K9" s="644">
        <f t="shared" si="0"/>
        <v>0.70799999999999996</v>
      </c>
      <c r="L9" s="1595">
        <f t="shared" si="0"/>
        <v>0</v>
      </c>
      <c r="M9" s="693">
        <f t="shared" si="0"/>
        <v>0</v>
      </c>
      <c r="N9" s="644">
        <f t="shared" si="0"/>
        <v>0</v>
      </c>
      <c r="O9" s="695">
        <f t="shared" si="0"/>
        <v>0</v>
      </c>
      <c r="P9" s="646">
        <f t="shared" si="0"/>
        <v>0</v>
      </c>
      <c r="Q9" s="693">
        <f t="shared" si="0"/>
        <v>0</v>
      </c>
      <c r="R9" s="694">
        <f t="shared" si="0"/>
        <v>0</v>
      </c>
      <c r="S9" s="695">
        <f t="shared" si="0"/>
        <v>0</v>
      </c>
      <c r="T9" s="696">
        <f t="shared" si="0"/>
        <v>0</v>
      </c>
      <c r="U9" s="693">
        <f t="shared" si="0"/>
        <v>1</v>
      </c>
      <c r="V9" s="644">
        <f t="shared" si="0"/>
        <v>0.752</v>
      </c>
      <c r="W9" s="695">
        <f t="shared" si="0"/>
        <v>0</v>
      </c>
      <c r="X9" s="646">
        <f t="shared" si="0"/>
        <v>0</v>
      </c>
      <c r="Y9" s="643">
        <f t="shared" si="0"/>
        <v>3</v>
      </c>
      <c r="Z9" s="644">
        <f t="shared" si="0"/>
        <v>0.19600000000000017</v>
      </c>
      <c r="AA9" s="645">
        <f t="shared" si="0"/>
        <v>4.2999999999999972</v>
      </c>
      <c r="AB9" s="646">
        <f t="shared" si="0"/>
        <v>-7.0034567901240408E-3</v>
      </c>
      <c r="AC9" s="1774">
        <f t="shared" si="0"/>
        <v>0</v>
      </c>
      <c r="AD9" s="1775">
        <f t="shared" si="0"/>
        <v>387</v>
      </c>
      <c r="AE9" s="647">
        <f t="shared" si="0"/>
        <v>0</v>
      </c>
      <c r="AF9" s="648">
        <f t="shared" si="0"/>
        <v>6.5032486709982518E-2</v>
      </c>
      <c r="AG9" s="649">
        <f t="shared" si="0"/>
        <v>1.497300000000001</v>
      </c>
      <c r="AH9" s="650">
        <f>AG9-AI9</f>
        <v>1.497300000000001</v>
      </c>
      <c r="AI9" s="651">
        <f t="shared" si="0"/>
        <v>0</v>
      </c>
      <c r="AJ9" s="652">
        <f t="shared" si="0"/>
        <v>-0.3</v>
      </c>
      <c r="AK9" s="472"/>
      <c r="AL9" s="472"/>
      <c r="AM9" s="472"/>
      <c r="AN9" s="472"/>
      <c r="AO9" s="472"/>
    </row>
    <row r="10" spans="1:41" ht="15" customHeight="1">
      <c r="A10" s="499" t="s">
        <v>516</v>
      </c>
      <c r="B10" s="502">
        <f>'[1]св-во Шув-2'!B10</f>
        <v>4</v>
      </c>
      <c r="C10" s="697">
        <f>'[1]св-во Шув-2'!C10</f>
        <v>0.36799999999999999</v>
      </c>
      <c r="D10" s="502"/>
      <c r="E10" s="697"/>
      <c r="F10" s="502">
        <f>'[1]св-во Шув-2'!F10+'[2]св-во Шув-2'!F10</f>
        <v>0</v>
      </c>
      <c r="G10" s="1817">
        <f>'[1]св-во Шув-2'!G10+'[2]св-во Шув-2'!G10</f>
        <v>0</v>
      </c>
      <c r="H10" s="502">
        <f>'[1]св-во Шув-2'!H10+'[2]св-во Шув-2'!H10</f>
        <v>4</v>
      </c>
      <c r="I10" s="1817">
        <f>'[1]св-во Шув-2'!I10+'[2]св-во Шув-2'!I10</f>
        <v>0.76</v>
      </c>
      <c r="J10" s="502">
        <f>'[1]св-во Шув-2'!J10+'[2]св-во Шув-2'!J10</f>
        <v>0</v>
      </c>
      <c r="K10" s="1817">
        <f>'[1]св-во Шув-2'!K10+'[2]св-во Шув-2'!K10</f>
        <v>0</v>
      </c>
      <c r="L10" s="1593">
        <f>'[1]св-во Шув-2'!L10+'[2]св-во Шув-2'!L10</f>
        <v>0</v>
      </c>
      <c r="M10" s="502">
        <f>'[1]св-во Шув-2'!M10+'[2]св-во Шув-2'!M10</f>
        <v>0</v>
      </c>
      <c r="N10" s="1817">
        <f>'[1]св-во Шув-2'!N10+'[2]св-во Шув-2'!N10</f>
        <v>0</v>
      </c>
      <c r="O10" s="502"/>
      <c r="P10" s="697"/>
      <c r="Q10" s="502"/>
      <c r="R10" s="697"/>
      <c r="S10" s="502"/>
      <c r="T10" s="697"/>
      <c r="U10" s="502">
        <f>'[1]св-во Шув-2'!U10+'[2]св-во Шув-2'!U10</f>
        <v>0</v>
      </c>
      <c r="V10" s="1817">
        <f>'[1]св-во Шув-2'!V10+'[2]св-во Шув-2'!V10</f>
        <v>0</v>
      </c>
      <c r="W10" s="502"/>
      <c r="X10" s="697"/>
      <c r="Y10" s="502">
        <f>B10+D10+H10+F10+J10-M10-O10-Q10-S10-U10-W10</f>
        <v>8</v>
      </c>
      <c r="Z10" s="503">
        <f>C10+E10+G10+I10+K10+L10-N10-P10-R10-T10-V10-X10</f>
        <v>1.1280000000000001</v>
      </c>
      <c r="AA10" s="500">
        <f>AD10/90</f>
        <v>29.022222222222222</v>
      </c>
      <c r="AB10" s="501">
        <f>(Z10+C10)/(Y10+B10)*AA10</f>
        <v>3.6181037037037034</v>
      </c>
      <c r="AC10" s="1256">
        <f>'[1]св-во Шув-2'!AC10+'[2]св-во Шув-2'!AC10</f>
        <v>1664</v>
      </c>
      <c r="AD10" s="1768">
        <f>'[1]св-во Шув-2'!AD10+'[2]св-во Шув-2'!AD10</f>
        <v>2612</v>
      </c>
      <c r="AE10" s="633"/>
      <c r="AF10" s="634">
        <v>3</v>
      </c>
      <c r="AG10" s="506">
        <f>AD10*AF10/1000</f>
        <v>7.8360000000000003</v>
      </c>
      <c r="AH10" s="507">
        <f>AG10</f>
        <v>7.8360000000000003</v>
      </c>
      <c r="AI10" s="508">
        <v>0</v>
      </c>
      <c r="AJ10" s="509">
        <v>14.3</v>
      </c>
      <c r="AK10" s="472"/>
      <c r="AL10" s="472"/>
      <c r="AM10" s="472" t="s">
        <v>537</v>
      </c>
      <c r="AN10" s="472"/>
      <c r="AO10" s="472">
        <f>AN10*V16</f>
        <v>0</v>
      </c>
    </row>
    <row r="11" spans="1:41" ht="15" customHeight="1" outlineLevel="1">
      <c r="A11" s="510" t="s">
        <v>16</v>
      </c>
      <c r="B11" s="2154">
        <v>4</v>
      </c>
      <c r="C11" s="2155">
        <v>0.36799999999999999</v>
      </c>
      <c r="D11" s="730"/>
      <c r="E11" s="731"/>
      <c r="F11" s="2154">
        <v>12</v>
      </c>
      <c r="G11" s="2155">
        <v>1.8</v>
      </c>
      <c r="H11" s="2156"/>
      <c r="I11" s="2157"/>
      <c r="J11" s="2156">
        <v>8</v>
      </c>
      <c r="K11" s="2157">
        <v>1.3</v>
      </c>
      <c r="L11" s="2157">
        <v>0.92200000000000004</v>
      </c>
      <c r="M11" s="2158">
        <v>3</v>
      </c>
      <c r="N11" s="2159">
        <v>0.70799999999999996</v>
      </c>
      <c r="O11" s="730"/>
      <c r="P11" s="731"/>
      <c r="Q11" s="730"/>
      <c r="R11" s="731"/>
      <c r="S11" s="730"/>
      <c r="T11" s="731"/>
      <c r="U11" s="2158">
        <v>3</v>
      </c>
      <c r="V11" s="2159">
        <v>1.0069999999999999</v>
      </c>
      <c r="W11" s="730"/>
      <c r="X11" s="731"/>
      <c r="Y11" s="513">
        <f>B11+D11+H11+F11+J11-M11-O11-Q11-S11-U11-W11</f>
        <v>18</v>
      </c>
      <c r="Z11" s="514">
        <f>C11+E11+G11+I11+K11+L11-N11-P11-R11-T11-V11-X11</f>
        <v>2.6749999999999998</v>
      </c>
      <c r="AA11" s="511">
        <f>AD11/90</f>
        <v>29.755555555555556</v>
      </c>
      <c r="AB11" s="512">
        <f>(Z11+C11)/(Y11+B11)*AA11</f>
        <v>4.115734343434343</v>
      </c>
      <c r="AC11" s="2071">
        <v>724</v>
      </c>
      <c r="AD11" s="2160">
        <v>2678</v>
      </c>
      <c r="AE11" s="902">
        <f>L11*1000000/AC11</f>
        <v>1273.4806629834254</v>
      </c>
      <c r="AF11" s="906">
        <f>AG11/AD11*1000</f>
        <v>2.3132935026138912</v>
      </c>
      <c r="AG11" s="516">
        <f>SUM(AH11:AI11)</f>
        <v>6.1950000000000003</v>
      </c>
      <c r="AH11" s="517">
        <f>K54</f>
        <v>6.1950000000000003</v>
      </c>
      <c r="AI11" s="517">
        <f>L54</f>
        <v>0</v>
      </c>
      <c r="AJ11" s="519">
        <f>E121</f>
        <v>73.181146741353814</v>
      </c>
      <c r="AK11" s="472"/>
      <c r="AL11" s="472"/>
      <c r="AM11" s="472"/>
      <c r="AN11" s="472"/>
      <c r="AO11" s="472"/>
    </row>
    <row r="12" spans="1:41" ht="15" customHeight="1" outlineLevel="1" thickBot="1">
      <c r="A12" s="636" t="s">
        <v>17</v>
      </c>
      <c r="B12" s="722">
        <f t="shared" ref="B12:AJ12" si="1">B11-B10</f>
        <v>0</v>
      </c>
      <c r="C12" s="694">
        <f t="shared" si="1"/>
        <v>0</v>
      </c>
      <c r="D12" s="695">
        <f t="shared" si="1"/>
        <v>0</v>
      </c>
      <c r="E12" s="644">
        <f t="shared" si="1"/>
        <v>0</v>
      </c>
      <c r="F12" s="693">
        <f t="shared" si="1"/>
        <v>12</v>
      </c>
      <c r="G12" s="644">
        <f t="shared" si="1"/>
        <v>1.8</v>
      </c>
      <c r="H12" s="695">
        <f t="shared" si="1"/>
        <v>-4</v>
      </c>
      <c r="I12" s="646">
        <f t="shared" si="1"/>
        <v>-0.76</v>
      </c>
      <c r="J12" s="1774">
        <f t="shared" si="1"/>
        <v>8</v>
      </c>
      <c r="K12" s="644">
        <f t="shared" si="1"/>
        <v>1.3</v>
      </c>
      <c r="L12" s="1249">
        <f t="shared" si="1"/>
        <v>0.92200000000000004</v>
      </c>
      <c r="M12" s="693">
        <f t="shared" si="1"/>
        <v>3</v>
      </c>
      <c r="N12" s="644">
        <f t="shared" si="1"/>
        <v>0.70799999999999996</v>
      </c>
      <c r="O12" s="695">
        <f t="shared" si="1"/>
        <v>0</v>
      </c>
      <c r="P12" s="646">
        <f t="shared" si="1"/>
        <v>0</v>
      </c>
      <c r="Q12" s="693">
        <f t="shared" si="1"/>
        <v>0</v>
      </c>
      <c r="R12" s="694">
        <f t="shared" si="1"/>
        <v>0</v>
      </c>
      <c r="S12" s="695">
        <f t="shared" si="1"/>
        <v>0</v>
      </c>
      <c r="T12" s="696">
        <f t="shared" si="1"/>
        <v>0</v>
      </c>
      <c r="U12" s="693">
        <f t="shared" si="1"/>
        <v>3</v>
      </c>
      <c r="V12" s="644">
        <f t="shared" si="1"/>
        <v>1.0069999999999999</v>
      </c>
      <c r="W12" s="695">
        <f t="shared" si="1"/>
        <v>0</v>
      </c>
      <c r="X12" s="646">
        <f t="shared" si="1"/>
        <v>0</v>
      </c>
      <c r="Y12" s="643">
        <f t="shared" si="1"/>
        <v>10</v>
      </c>
      <c r="Z12" s="644">
        <f t="shared" si="1"/>
        <v>1.5469999999999997</v>
      </c>
      <c r="AA12" s="645">
        <f t="shared" si="1"/>
        <v>0.73333333333333428</v>
      </c>
      <c r="AB12" s="646">
        <f t="shared" si="1"/>
        <v>0.49763063973063959</v>
      </c>
      <c r="AC12" s="1774">
        <f t="shared" si="1"/>
        <v>-940</v>
      </c>
      <c r="AD12" s="1775">
        <f t="shared" si="1"/>
        <v>66</v>
      </c>
      <c r="AE12" s="647">
        <f t="shared" si="1"/>
        <v>1273.4806629834254</v>
      </c>
      <c r="AF12" s="648">
        <f t="shared" si="1"/>
        <v>-0.68670649738610878</v>
      </c>
      <c r="AG12" s="649">
        <f t="shared" si="1"/>
        <v>-1.641</v>
      </c>
      <c r="AH12" s="650">
        <f>AG12-AI12</f>
        <v>-1.641</v>
      </c>
      <c r="AI12" s="651">
        <f t="shared" si="1"/>
        <v>0</v>
      </c>
      <c r="AJ12" s="652">
        <f t="shared" si="1"/>
        <v>58.881146741353817</v>
      </c>
      <c r="AK12" s="472"/>
      <c r="AL12" s="472"/>
      <c r="AM12" s="472"/>
      <c r="AN12" s="472"/>
      <c r="AO12" s="472"/>
    </row>
    <row r="13" spans="1:41" ht="15" customHeight="1">
      <c r="A13" s="523" t="s">
        <v>35</v>
      </c>
      <c r="B13" s="502">
        <f>'[1]св-во Шув-2'!B13</f>
        <v>889</v>
      </c>
      <c r="C13" s="697">
        <f>'[1]св-во Шув-2'!C13</f>
        <v>134.69300000000001</v>
      </c>
      <c r="D13" s="502"/>
      <c r="E13" s="697"/>
      <c r="F13" s="502"/>
      <c r="G13" s="697"/>
      <c r="H13" s="502"/>
      <c r="I13" s="697"/>
      <c r="J13" s="502">
        <f>'[1]св-во Шув-2'!J13+'[2]св-во Шув-2'!J13</f>
        <v>487</v>
      </c>
      <c r="K13" s="1817">
        <f>'[1]св-во Шув-2'!K13+'[2]св-во Шув-2'!K13</f>
        <v>70.248999999999995</v>
      </c>
      <c r="L13" s="1248"/>
      <c r="M13" s="502">
        <f>'[1]св-во Шув-2'!M13+'[2]св-во Шув-2'!M13</f>
        <v>528</v>
      </c>
      <c r="N13" s="1817">
        <f>'[1]св-во Шув-2'!N13+'[2]св-во Шув-2'!N13</f>
        <v>79.2</v>
      </c>
      <c r="O13" s="502"/>
      <c r="P13" s="697"/>
      <c r="Q13" s="502"/>
      <c r="R13" s="697"/>
      <c r="S13" s="502"/>
      <c r="T13" s="697"/>
      <c r="U13" s="502">
        <f>'[1]св-во Шув-2'!U13+'[2]св-во Шув-2'!U13</f>
        <v>19</v>
      </c>
      <c r="V13" s="1817">
        <f>'[1]св-во Шув-2'!V13+'[2]св-во Шув-2'!V13</f>
        <v>2.88</v>
      </c>
      <c r="W13" s="502"/>
      <c r="X13" s="697"/>
      <c r="Y13" s="502">
        <f>B13+D13+H13+F13+J13-M13-O13-Q13-S13-U13-W13</f>
        <v>829</v>
      </c>
      <c r="Z13" s="503">
        <f>C13+E13+G13+I13+K13+L13-N13-P13-R13-T13-V13-X13</f>
        <v>122.86200000000001</v>
      </c>
      <c r="AA13" s="500">
        <f>AD13/90</f>
        <v>3607.6055555555554</v>
      </c>
      <c r="AB13" s="501">
        <f>(Z13+C13)/(Y13+B13)*AA13</f>
        <v>540.83634974453503</v>
      </c>
      <c r="AC13" s="1256">
        <f>'[1]св-во Шув-2'!AC13+'[2]св-во Шув-2'!AC13</f>
        <v>0</v>
      </c>
      <c r="AD13" s="1768">
        <f>'[1]св-во Шув-2'!AD13+'[2]св-во Шув-2'!AD13</f>
        <v>324684.5</v>
      </c>
      <c r="AE13" s="633"/>
      <c r="AF13" s="634">
        <v>3.3</v>
      </c>
      <c r="AG13" s="506">
        <f>AD13*AF13/1000</f>
        <v>1071.4588499999998</v>
      </c>
      <c r="AH13" s="507">
        <f>AG13</f>
        <v>1071.4588499999998</v>
      </c>
      <c r="AI13" s="508">
        <v>0</v>
      </c>
      <c r="AJ13" s="509">
        <v>0</v>
      </c>
      <c r="AK13" s="472"/>
      <c r="AL13" s="472"/>
      <c r="AM13" s="472" t="s">
        <v>294</v>
      </c>
      <c r="AN13" s="472"/>
      <c r="AO13" s="472">
        <f>AN13*V43</f>
        <v>0</v>
      </c>
    </row>
    <row r="14" spans="1:41" ht="15" customHeight="1" outlineLevel="1">
      <c r="A14" s="510" t="s">
        <v>16</v>
      </c>
      <c r="B14" s="2154">
        <v>889</v>
      </c>
      <c r="C14" s="2155">
        <v>134.69300000000001</v>
      </c>
      <c r="D14" s="730"/>
      <c r="E14" s="731"/>
      <c r="F14" s="730"/>
      <c r="G14" s="731"/>
      <c r="H14" s="730"/>
      <c r="I14" s="731"/>
      <c r="J14" s="2156">
        <v>580</v>
      </c>
      <c r="K14" s="2157">
        <v>84.429000000000002</v>
      </c>
      <c r="L14" s="1594"/>
      <c r="M14" s="2158">
        <v>628</v>
      </c>
      <c r="N14" s="2159">
        <v>92.873000000000005</v>
      </c>
      <c r="O14" s="2154">
        <f>'обор. ш-1'!H11</f>
        <v>12</v>
      </c>
      <c r="P14" s="2155">
        <f>'обор. ш-1'!I11</f>
        <v>21.34</v>
      </c>
      <c r="Q14" s="730"/>
      <c r="R14" s="731"/>
      <c r="S14" s="730"/>
      <c r="T14" s="731"/>
      <c r="U14" s="2158">
        <v>26</v>
      </c>
      <c r="V14" s="2159">
        <v>4.3570000000000002</v>
      </c>
      <c r="W14" s="730"/>
      <c r="X14" s="731"/>
      <c r="Y14" s="513">
        <f>B14+D14+H14+F14+J14-M14-O14-Q14-S14-U14-W14</f>
        <v>803</v>
      </c>
      <c r="Z14" s="514">
        <f>C14+E14+G14+I14+K14+L14-N14-P14-R14-T14-V14-X14</f>
        <v>100.55200000000001</v>
      </c>
      <c r="AA14" s="511">
        <f>AD14/90</f>
        <v>3642.3444444444444</v>
      </c>
      <c r="AB14" s="512">
        <f>(Z14+C14)/(Y14+B14)*AA14</f>
        <v>506.40858087076435</v>
      </c>
      <c r="AC14" s="1769"/>
      <c r="AD14" s="2160">
        <v>327811</v>
      </c>
      <c r="AE14" s="635"/>
      <c r="AF14" s="906">
        <f>AG14/AD14*1000</f>
        <v>3.2557937348045058</v>
      </c>
      <c r="AG14" s="516">
        <f>SUM(AH14:AI14)</f>
        <v>1067.2849999999999</v>
      </c>
      <c r="AH14" s="517">
        <f>K57</f>
        <v>1067.1089999999999</v>
      </c>
      <c r="AI14" s="517">
        <f>L57</f>
        <v>0.17599999999999999</v>
      </c>
      <c r="AJ14" s="519">
        <f>E124</f>
        <v>0</v>
      </c>
      <c r="AK14" s="472"/>
      <c r="AL14" s="472"/>
      <c r="AM14" s="472"/>
      <c r="AN14" s="472"/>
      <c r="AO14" s="472"/>
    </row>
    <row r="15" spans="1:41" ht="15" customHeight="1" outlineLevel="1" thickBot="1">
      <c r="A15" s="636" t="s">
        <v>17</v>
      </c>
      <c r="B15" s="722">
        <f t="shared" ref="B15:AJ15" si="2">B14-B13</f>
        <v>0</v>
      </c>
      <c r="C15" s="694">
        <f t="shared" si="2"/>
        <v>0</v>
      </c>
      <c r="D15" s="695">
        <f t="shared" si="2"/>
        <v>0</v>
      </c>
      <c r="E15" s="644">
        <f t="shared" si="2"/>
        <v>0</v>
      </c>
      <c r="F15" s="693">
        <f t="shared" si="2"/>
        <v>0</v>
      </c>
      <c r="G15" s="644">
        <f t="shared" si="2"/>
        <v>0</v>
      </c>
      <c r="H15" s="695">
        <f t="shared" si="2"/>
        <v>0</v>
      </c>
      <c r="I15" s="646">
        <f t="shared" si="2"/>
        <v>0</v>
      </c>
      <c r="J15" s="1774">
        <f t="shared" si="2"/>
        <v>93</v>
      </c>
      <c r="K15" s="644">
        <f t="shared" si="2"/>
        <v>14.180000000000007</v>
      </c>
      <c r="L15" s="1249">
        <f t="shared" si="2"/>
        <v>0</v>
      </c>
      <c r="M15" s="693">
        <f t="shared" si="2"/>
        <v>100</v>
      </c>
      <c r="N15" s="644">
        <f t="shared" si="2"/>
        <v>13.673000000000002</v>
      </c>
      <c r="O15" s="695">
        <f t="shared" si="2"/>
        <v>12</v>
      </c>
      <c r="P15" s="646">
        <f t="shared" si="2"/>
        <v>21.34</v>
      </c>
      <c r="Q15" s="693">
        <f t="shared" si="2"/>
        <v>0</v>
      </c>
      <c r="R15" s="694">
        <f t="shared" si="2"/>
        <v>0</v>
      </c>
      <c r="S15" s="695">
        <f t="shared" si="2"/>
        <v>0</v>
      </c>
      <c r="T15" s="696">
        <f t="shared" si="2"/>
        <v>0</v>
      </c>
      <c r="U15" s="693">
        <f t="shared" si="2"/>
        <v>7</v>
      </c>
      <c r="V15" s="644">
        <f t="shared" si="2"/>
        <v>1.4770000000000003</v>
      </c>
      <c r="W15" s="695">
        <f t="shared" si="2"/>
        <v>0</v>
      </c>
      <c r="X15" s="646">
        <f t="shared" si="2"/>
        <v>0</v>
      </c>
      <c r="Y15" s="643">
        <f t="shared" si="2"/>
        <v>-26</v>
      </c>
      <c r="Z15" s="644">
        <f t="shared" si="2"/>
        <v>-22.310000000000002</v>
      </c>
      <c r="AA15" s="645">
        <f t="shared" si="2"/>
        <v>34.738888888889051</v>
      </c>
      <c r="AB15" s="646">
        <f t="shared" si="2"/>
        <v>-34.427768873770674</v>
      </c>
      <c r="AC15" s="1774">
        <f t="shared" si="2"/>
        <v>0</v>
      </c>
      <c r="AD15" s="1775">
        <f t="shared" si="2"/>
        <v>3126.5</v>
      </c>
      <c r="AE15" s="647">
        <f t="shared" si="2"/>
        <v>0</v>
      </c>
      <c r="AF15" s="648">
        <f t="shared" si="2"/>
        <v>-4.4206265195493977E-2</v>
      </c>
      <c r="AG15" s="649">
        <f t="shared" si="2"/>
        <v>-4.1738499999999021</v>
      </c>
      <c r="AH15" s="650">
        <f>AG15-AI15</f>
        <v>-4.3498499999999023</v>
      </c>
      <c r="AI15" s="651">
        <f t="shared" si="2"/>
        <v>0.17599999999999999</v>
      </c>
      <c r="AJ15" s="652">
        <f t="shared" si="2"/>
        <v>0</v>
      </c>
      <c r="AK15" s="472"/>
      <c r="AL15" s="472"/>
      <c r="AM15" s="472"/>
      <c r="AN15" s="472"/>
      <c r="AO15" s="472"/>
    </row>
    <row r="16" spans="1:41" ht="15" customHeight="1">
      <c r="A16" s="523" t="s">
        <v>36</v>
      </c>
      <c r="B16" s="502">
        <f>'[1]св-во Шув-2'!B16</f>
        <v>241</v>
      </c>
      <c r="C16" s="697">
        <f>'[1]св-во Шув-2'!C16</f>
        <v>35.591000000000001</v>
      </c>
      <c r="D16" s="502"/>
      <c r="E16" s="697"/>
      <c r="F16" s="502"/>
      <c r="G16" s="697"/>
      <c r="H16" s="502">
        <f>'[1]св-во Шув-2'!H16</f>
        <v>0</v>
      </c>
      <c r="I16" s="697">
        <f>'[1]св-во Шув-2'!I16</f>
        <v>0</v>
      </c>
      <c r="J16" s="502">
        <f>'[1]св-во Шув-2'!J16+'[2]св-во Шув-2'!J16</f>
        <v>494</v>
      </c>
      <c r="K16" s="1817">
        <f>'[1]св-во Шув-2'!K16+'[2]св-во Шув-2'!K16</f>
        <v>73.680000000000007</v>
      </c>
      <c r="L16" s="1248"/>
      <c r="M16" s="502">
        <f>'[1]св-во Шув-2'!M16+'[2]св-во Шув-2'!M16</f>
        <v>487</v>
      </c>
      <c r="N16" s="1817">
        <f>'[1]св-во Шув-2'!N16+'[2]св-во Шув-2'!N16</f>
        <v>70.28</v>
      </c>
      <c r="O16" s="502"/>
      <c r="P16" s="697"/>
      <c r="Q16" s="502">
        <f>'[1]св-во Шув-2'!Q16</f>
        <v>0</v>
      </c>
      <c r="R16" s="1593">
        <f>'[1]св-во Шув-2'!R16</f>
        <v>0</v>
      </c>
      <c r="S16" s="500"/>
      <c r="T16" s="697"/>
      <c r="U16" s="502">
        <f>'[1]св-во Шув-2'!U16+'[2]св-во Шув-2'!U16</f>
        <v>0</v>
      </c>
      <c r="V16" s="1817">
        <f>'[1]св-во Шув-2'!V16+'[2]св-во Шув-2'!V16</f>
        <v>0</v>
      </c>
      <c r="W16" s="502">
        <f>'[1]св-во Шув-2'!W16+'[2]св-во Шув-2'!W16</f>
        <v>0</v>
      </c>
      <c r="X16" s="1817">
        <f>'[1]св-во Шув-2'!X16+'[2]св-во Шув-2'!X16</f>
        <v>0</v>
      </c>
      <c r="Y16" s="502">
        <f>B16+D16+H16+F16+J16-M16-O16-Q16-S16-U16-W16</f>
        <v>248</v>
      </c>
      <c r="Z16" s="503">
        <f>C16+E16+G16+I16+K16+L16-N16-P16-R16-T16-V16-X16</f>
        <v>38.991000000000014</v>
      </c>
      <c r="AA16" s="500">
        <f>AD16/90</f>
        <v>926.27222222222224</v>
      </c>
      <c r="AB16" s="501">
        <f>(Z16+C16)/(Y16+B16)*AA16</f>
        <v>141.27450895251084</v>
      </c>
      <c r="AC16" s="1256">
        <f>'[1]св-во Шув-2'!AC16+'[2]св-во Шув-2'!AC16</f>
        <v>0</v>
      </c>
      <c r="AD16" s="1768">
        <f>'[1]св-во Шув-2'!AD16+'[2]св-во Шув-2'!AD16</f>
        <v>83364.5</v>
      </c>
      <c r="AE16" s="633"/>
      <c r="AF16" s="634">
        <v>3.3</v>
      </c>
      <c r="AG16" s="506">
        <f>AD16*AF16/1000</f>
        <v>275.10284999999999</v>
      </c>
      <c r="AH16" s="507">
        <f>AG16</f>
        <v>275.10284999999999</v>
      </c>
      <c r="AI16" s="508">
        <v>0</v>
      </c>
      <c r="AJ16" s="509">
        <v>0</v>
      </c>
      <c r="AK16" s="472"/>
      <c r="AL16" s="472"/>
      <c r="AM16" s="472"/>
      <c r="AN16" s="472"/>
      <c r="AO16" s="472"/>
    </row>
    <row r="17" spans="1:41" ht="15" customHeight="1" outlineLevel="1">
      <c r="A17" s="510" t="s">
        <v>16</v>
      </c>
      <c r="B17" s="2154">
        <v>241</v>
      </c>
      <c r="C17" s="2155">
        <v>35.591000000000001</v>
      </c>
      <c r="D17" s="730"/>
      <c r="E17" s="731"/>
      <c r="F17" s="730"/>
      <c r="G17" s="731"/>
      <c r="H17" s="1344"/>
      <c r="I17" s="1592"/>
      <c r="J17" s="2156">
        <v>688</v>
      </c>
      <c r="K17" s="2157">
        <v>90.995999999999995</v>
      </c>
      <c r="L17" s="1594"/>
      <c r="M17" s="2158">
        <f>J14</f>
        <v>580</v>
      </c>
      <c r="N17" s="2159">
        <f>K14</f>
        <v>84.429000000000002</v>
      </c>
      <c r="O17" s="730"/>
      <c r="P17" s="731"/>
      <c r="Q17" s="730"/>
      <c r="R17" s="731"/>
      <c r="S17" s="902"/>
      <c r="T17" s="731"/>
      <c r="U17" s="2158">
        <v>10</v>
      </c>
      <c r="V17" s="2159">
        <v>1.609</v>
      </c>
      <c r="W17" s="2158">
        <v>63</v>
      </c>
      <c r="X17" s="2159">
        <v>10.856999999999999</v>
      </c>
      <c r="Y17" s="513">
        <f>B17+D17+H17+F17+J17-M17-O17-Q17-S17-U17-W17</f>
        <v>276</v>
      </c>
      <c r="Z17" s="514">
        <f>C17+E17+G17+I17+K17+L17-N17-P17-R17-T17-V17-X17</f>
        <v>29.691999999999986</v>
      </c>
      <c r="AA17" s="511">
        <f>AD17/90</f>
        <v>932.71111111111111</v>
      </c>
      <c r="AB17" s="512">
        <f>(Z17+C17)/(Y17+B17)*AA17</f>
        <v>117.77597575757575</v>
      </c>
      <c r="AC17" s="1769"/>
      <c r="AD17" s="2160">
        <v>83944</v>
      </c>
      <c r="AE17" s="635"/>
      <c r="AF17" s="906">
        <f>AG17/AD17*1000</f>
        <v>3.4606166015438866</v>
      </c>
      <c r="AG17" s="516">
        <f>SUM(AH17:AI17)</f>
        <v>290.49799999999999</v>
      </c>
      <c r="AH17" s="517">
        <f>K60</f>
        <v>290.464</v>
      </c>
      <c r="AI17" s="517">
        <f>L60</f>
        <v>3.4000000000000002E-2</v>
      </c>
      <c r="AJ17" s="519">
        <f>E127</f>
        <v>0</v>
      </c>
      <c r="AK17" s="472"/>
      <c r="AL17" s="472"/>
      <c r="AM17" s="472"/>
      <c r="AN17" s="472"/>
      <c r="AO17" s="472"/>
    </row>
    <row r="18" spans="1:41" ht="15" customHeight="1" outlineLevel="1" thickBot="1">
      <c r="A18" s="636" t="s">
        <v>17</v>
      </c>
      <c r="B18" s="722">
        <f t="shared" ref="B18:C18" si="3">B17-B16</f>
        <v>0</v>
      </c>
      <c r="C18" s="694">
        <f t="shared" si="3"/>
        <v>0</v>
      </c>
      <c r="D18" s="695">
        <v>0</v>
      </c>
      <c r="E18" s="644">
        <v>0</v>
      </c>
      <c r="F18" s="693">
        <v>0</v>
      </c>
      <c r="G18" s="644">
        <v>0</v>
      </c>
      <c r="H18" s="695">
        <v>0</v>
      </c>
      <c r="I18" s="646">
        <v>0</v>
      </c>
      <c r="J18" s="1774">
        <f t="shared" ref="J18:R18" si="4">J17-J16</f>
        <v>194</v>
      </c>
      <c r="K18" s="644">
        <f t="shared" si="4"/>
        <v>17.315999999999988</v>
      </c>
      <c r="L18" s="1249">
        <f t="shared" si="4"/>
        <v>0</v>
      </c>
      <c r="M18" s="693">
        <f t="shared" si="4"/>
        <v>93</v>
      </c>
      <c r="N18" s="646">
        <f t="shared" si="4"/>
        <v>14.149000000000001</v>
      </c>
      <c r="O18" s="693">
        <f t="shared" si="4"/>
        <v>0</v>
      </c>
      <c r="P18" s="646">
        <f t="shared" si="4"/>
        <v>0</v>
      </c>
      <c r="Q18" s="693">
        <f t="shared" si="4"/>
        <v>0</v>
      </c>
      <c r="R18" s="644">
        <f t="shared" si="4"/>
        <v>0</v>
      </c>
      <c r="S18" s="695">
        <v>0</v>
      </c>
      <c r="T18" s="696">
        <v>0</v>
      </c>
      <c r="U18" s="693">
        <f t="shared" ref="U18:V18" si="5">U17-U16</f>
        <v>10</v>
      </c>
      <c r="V18" s="644">
        <f t="shared" si="5"/>
        <v>1.609</v>
      </c>
      <c r="W18" s="693">
        <v>0</v>
      </c>
      <c r="X18" s="644">
        <v>0</v>
      </c>
      <c r="Y18" s="643">
        <f t="shared" ref="Y18:AD18" si="6">Y17-Y16</f>
        <v>28</v>
      </c>
      <c r="Z18" s="644">
        <f t="shared" si="6"/>
        <v>-9.2990000000000279</v>
      </c>
      <c r="AA18" s="645">
        <f t="shared" si="6"/>
        <v>6.4388888888888687</v>
      </c>
      <c r="AB18" s="646">
        <f t="shared" si="6"/>
        <v>-23.498533194935092</v>
      </c>
      <c r="AC18" s="1774">
        <f t="shared" si="6"/>
        <v>0</v>
      </c>
      <c r="AD18" s="1775">
        <f t="shared" si="6"/>
        <v>579.5</v>
      </c>
      <c r="AE18" s="647">
        <f t="shared" ref="AE18" si="7">AE17-AE16</f>
        <v>0</v>
      </c>
      <c r="AF18" s="648">
        <v>-3.3</v>
      </c>
      <c r="AG18" s="649">
        <v>-36.200000000000003</v>
      </c>
      <c r="AH18" s="650">
        <v>-36.200000000000003</v>
      </c>
      <c r="AI18" s="651">
        <v>0</v>
      </c>
      <c r="AJ18" s="652">
        <v>0</v>
      </c>
      <c r="AK18" s="472"/>
      <c r="AL18" s="472"/>
      <c r="AM18" s="472"/>
      <c r="AN18" s="472"/>
      <c r="AO18" s="472"/>
    </row>
    <row r="19" spans="1:41" ht="15" customHeight="1">
      <c r="A19" s="523" t="s">
        <v>517</v>
      </c>
      <c r="B19" s="502">
        <f>'[1]св-во Шув-2'!B19</f>
        <v>316</v>
      </c>
      <c r="C19" s="697">
        <f>'[1]св-во Шув-2'!C19</f>
        <v>24.254999999999999</v>
      </c>
      <c r="D19" s="502"/>
      <c r="E19" s="697"/>
      <c r="F19" s="502"/>
      <c r="G19" s="697"/>
      <c r="H19" s="502">
        <f>'[1]св-во Шув-2'!H19+'[2]св-во Шув-2'!H19</f>
        <v>694</v>
      </c>
      <c r="I19" s="1817">
        <f>'[1]св-во Шув-2'!I19+'[2]св-во Шув-2'!I19</f>
        <v>85.328000000000003</v>
      </c>
      <c r="J19" s="502">
        <f>'[1]св-во Шув-2'!J19+'[2]св-во Шув-2'!J19</f>
        <v>468</v>
      </c>
      <c r="K19" s="1817">
        <f>'[1]св-во Шув-2'!K19+'[2]св-во Шув-2'!K19</f>
        <v>18.251999999999999</v>
      </c>
      <c r="L19" s="1593">
        <f>'[1]св-во Шув-2'!L19+'[2]св-во Шув-2'!L19</f>
        <v>66.867999999999995</v>
      </c>
      <c r="M19" s="502">
        <f>'[1]св-во Шув-2'!M19+'[2]св-во Шув-2'!M19</f>
        <v>494</v>
      </c>
      <c r="N19" s="1817">
        <f>'[1]св-во Шув-2'!N19+'[2]св-во Шув-2'!N19</f>
        <v>73.680000000000007</v>
      </c>
      <c r="O19" s="502"/>
      <c r="P19" s="697"/>
      <c r="Q19" s="502">
        <f>'[1]св-во Шув-2'!Q19+'[2]св-во Шув-2'!Q19</f>
        <v>196</v>
      </c>
      <c r="R19" s="1817">
        <f>'[1]св-во Шув-2'!R19+'[2]св-во Шув-2'!R19</f>
        <v>20.652000000000001</v>
      </c>
      <c r="S19" s="502"/>
      <c r="T19" s="697"/>
      <c r="U19" s="502">
        <f>'[1]св-во Шув-2'!U19+'[2]св-во Шув-2'!U19</f>
        <v>0</v>
      </c>
      <c r="V19" s="1817">
        <f>'[1]св-во Шув-2'!V19+'[2]св-во Шув-2'!V19</f>
        <v>0</v>
      </c>
      <c r="W19" s="502"/>
      <c r="X19" s="697"/>
      <c r="Y19" s="502">
        <f>B19+D19+H19+F19+J19-M19-O19-Q19-S19-U19-W19</f>
        <v>788</v>
      </c>
      <c r="Z19" s="503">
        <f>C19+E19+G19+I19+K19+L19-N19-P19-R19-T19-V19-X19</f>
        <v>100.37099999999997</v>
      </c>
      <c r="AA19" s="500">
        <f>AD19/90</f>
        <v>1700.8833333333334</v>
      </c>
      <c r="AB19" s="501">
        <f>(Z19+C19)/(Y19+B19)*AA19</f>
        <v>192.00569411231879</v>
      </c>
      <c r="AC19" s="1256">
        <f>'[1]св-во Шув-2'!AC19+'[2]св-во Шув-2'!AC19</f>
        <v>108194</v>
      </c>
      <c r="AD19" s="1768">
        <f>'[1]св-во Шув-2'!AD19+'[2]св-во Шув-2'!AD19</f>
        <v>153079.5</v>
      </c>
      <c r="AE19" s="504">
        <f>L19*1000000/AC19</f>
        <v>618.03796883376151</v>
      </c>
      <c r="AF19" s="634">
        <v>2.7</v>
      </c>
      <c r="AG19" s="506">
        <f>AD19*AF19/1000</f>
        <v>413.31465000000003</v>
      </c>
      <c r="AH19" s="507">
        <f>AG19</f>
        <v>413.31465000000003</v>
      </c>
      <c r="AI19" s="508">
        <v>0</v>
      </c>
      <c r="AJ19" s="509">
        <v>0</v>
      </c>
      <c r="AK19" s="472"/>
      <c r="AL19" s="472"/>
      <c r="AM19" s="472"/>
      <c r="AN19" s="472"/>
      <c r="AO19" s="472"/>
    </row>
    <row r="20" spans="1:41" ht="15" customHeight="1">
      <c r="A20" s="510" t="s">
        <v>16</v>
      </c>
      <c r="B20" s="2154">
        <v>316</v>
      </c>
      <c r="C20" s="2155">
        <v>24.254999999999999</v>
      </c>
      <c r="D20" s="730"/>
      <c r="E20" s="731"/>
      <c r="F20" s="730"/>
      <c r="G20" s="731"/>
      <c r="H20" s="2158">
        <f>'обор. ш-1'!Q17</f>
        <v>685</v>
      </c>
      <c r="I20" s="2159">
        <f>'обор. ш-1'!R17</f>
        <v>80.17</v>
      </c>
      <c r="J20" s="2156">
        <f>975-H20</f>
        <v>290</v>
      </c>
      <c r="K20" s="2157">
        <f>90.226-I20</f>
        <v>10.055999999999997</v>
      </c>
      <c r="L20" s="2157">
        <v>57.845999999999997</v>
      </c>
      <c r="M20" s="2158">
        <f>J17</f>
        <v>688</v>
      </c>
      <c r="N20" s="2159">
        <f>K17</f>
        <v>90.995999999999995</v>
      </c>
      <c r="O20" s="730"/>
      <c r="P20" s="731"/>
      <c r="Q20" s="2158">
        <v>279</v>
      </c>
      <c r="R20" s="2159">
        <v>41.706000000000003</v>
      </c>
      <c r="S20" s="730"/>
      <c r="T20" s="731"/>
      <c r="U20" s="2158">
        <v>6</v>
      </c>
      <c r="V20" s="2159">
        <v>0.60699999999999998</v>
      </c>
      <c r="W20" s="730"/>
      <c r="X20" s="731"/>
      <c r="Y20" s="513">
        <f>B20+D20+H20+F20+J20-M20-O20-Q20-S20-U20-W20</f>
        <v>318</v>
      </c>
      <c r="Z20" s="514">
        <f>C20+E20+G20+I20+K20+L20-N20-P20-R20-T20-V20-X20</f>
        <v>39.018000000000001</v>
      </c>
      <c r="AA20" s="511">
        <f>AD20/90</f>
        <v>1462.6777777777777</v>
      </c>
      <c r="AB20" s="512">
        <f>(Z20+C20)/(Y20+B20)*AA20</f>
        <v>145.974780809674</v>
      </c>
      <c r="AC20" s="2161">
        <v>79741</v>
      </c>
      <c r="AD20" s="2160">
        <v>131641</v>
      </c>
      <c r="AE20" s="902">
        <f>L20*1000000/AC20</f>
        <v>725.42355877152283</v>
      </c>
      <c r="AF20" s="906">
        <f>AG20/AD20*1000</f>
        <v>2.4227786176039379</v>
      </c>
      <c r="AG20" s="516">
        <f>SUM(AH20:AI20)</f>
        <v>318.93700000000001</v>
      </c>
      <c r="AH20" s="517">
        <f>K63</f>
        <v>318.93700000000001</v>
      </c>
      <c r="AI20" s="517">
        <f>L63</f>
        <v>0</v>
      </c>
      <c r="AJ20" s="519">
        <f>E130</f>
        <v>0</v>
      </c>
      <c r="AK20" s="472"/>
      <c r="AL20" s="472"/>
      <c r="AM20" s="472"/>
      <c r="AN20" s="472"/>
      <c r="AO20" s="472"/>
    </row>
    <row r="21" spans="1:41" ht="15" customHeight="1" thickBot="1">
      <c r="A21" s="636" t="s">
        <v>17</v>
      </c>
      <c r="B21" s="722">
        <f t="shared" ref="B21:AJ21" si="8">B20-B19</f>
        <v>0</v>
      </c>
      <c r="C21" s="694">
        <f t="shared" si="8"/>
        <v>0</v>
      </c>
      <c r="D21" s="695">
        <f t="shared" si="8"/>
        <v>0</v>
      </c>
      <c r="E21" s="644">
        <f t="shared" si="8"/>
        <v>0</v>
      </c>
      <c r="F21" s="693">
        <f t="shared" si="8"/>
        <v>0</v>
      </c>
      <c r="G21" s="644">
        <f t="shared" si="8"/>
        <v>0</v>
      </c>
      <c r="H21" s="695">
        <f t="shared" si="8"/>
        <v>-9</v>
      </c>
      <c r="I21" s="646">
        <f t="shared" si="8"/>
        <v>-5.1580000000000013</v>
      </c>
      <c r="J21" s="1774">
        <f t="shared" si="8"/>
        <v>-178</v>
      </c>
      <c r="K21" s="644">
        <f t="shared" si="8"/>
        <v>-8.1960000000000015</v>
      </c>
      <c r="L21" s="1249">
        <f t="shared" si="8"/>
        <v>-9.0219999999999985</v>
      </c>
      <c r="M21" s="693">
        <f t="shared" si="8"/>
        <v>194</v>
      </c>
      <c r="N21" s="644">
        <f t="shared" si="8"/>
        <v>17.315999999999988</v>
      </c>
      <c r="O21" s="695">
        <f t="shared" si="8"/>
        <v>0</v>
      </c>
      <c r="P21" s="646">
        <f t="shared" si="8"/>
        <v>0</v>
      </c>
      <c r="Q21" s="693">
        <f t="shared" si="8"/>
        <v>83</v>
      </c>
      <c r="R21" s="644">
        <f t="shared" si="8"/>
        <v>21.054000000000002</v>
      </c>
      <c r="S21" s="695">
        <f t="shared" si="8"/>
        <v>0</v>
      </c>
      <c r="T21" s="696">
        <f t="shared" si="8"/>
        <v>0</v>
      </c>
      <c r="U21" s="693">
        <f t="shared" si="8"/>
        <v>6</v>
      </c>
      <c r="V21" s="644">
        <f t="shared" si="8"/>
        <v>0.60699999999999998</v>
      </c>
      <c r="W21" s="695">
        <f t="shared" si="8"/>
        <v>0</v>
      </c>
      <c r="X21" s="646">
        <f t="shared" si="8"/>
        <v>0</v>
      </c>
      <c r="Y21" s="643">
        <f t="shared" si="8"/>
        <v>-470</v>
      </c>
      <c r="Z21" s="644">
        <f t="shared" si="8"/>
        <v>-61.352999999999966</v>
      </c>
      <c r="AA21" s="645">
        <f t="shared" si="8"/>
        <v>-238.20555555555575</v>
      </c>
      <c r="AB21" s="646">
        <f t="shared" si="8"/>
        <v>-46.030913302644791</v>
      </c>
      <c r="AC21" s="1774">
        <f t="shared" si="8"/>
        <v>-28453</v>
      </c>
      <c r="AD21" s="1775">
        <f t="shared" si="8"/>
        <v>-21438.5</v>
      </c>
      <c r="AE21" s="647">
        <f t="shared" si="8"/>
        <v>107.38558993776132</v>
      </c>
      <c r="AF21" s="648">
        <f t="shared" si="8"/>
        <v>-0.27722138239606231</v>
      </c>
      <c r="AG21" s="649">
        <f t="shared" si="8"/>
        <v>-94.377650000000017</v>
      </c>
      <c r="AH21" s="650">
        <f>AG21-AI21</f>
        <v>-94.377650000000017</v>
      </c>
      <c r="AI21" s="651">
        <f t="shared" si="8"/>
        <v>0</v>
      </c>
      <c r="AJ21" s="652">
        <f t="shared" si="8"/>
        <v>0</v>
      </c>
      <c r="AK21" s="472"/>
      <c r="AL21" s="472"/>
      <c r="AM21" s="472"/>
      <c r="AN21" s="472"/>
      <c r="AO21" s="472"/>
    </row>
    <row r="22" spans="1:41" ht="15" hidden="1" customHeight="1" outlineLevel="1">
      <c r="A22" s="523" t="s">
        <v>518</v>
      </c>
      <c r="B22" s="502"/>
      <c r="C22" s="697"/>
      <c r="D22" s="502"/>
      <c r="E22" s="697"/>
      <c r="F22" s="502"/>
      <c r="G22" s="697"/>
      <c r="H22" s="502"/>
      <c r="I22" s="697"/>
      <c r="J22" s="1256"/>
      <c r="K22" s="1593"/>
      <c r="L22" s="1248"/>
      <c r="M22" s="502"/>
      <c r="N22" s="697"/>
      <c r="O22" s="502"/>
      <c r="P22" s="697"/>
      <c r="Q22" s="502"/>
      <c r="R22" s="697"/>
      <c r="S22" s="502"/>
      <c r="T22" s="697"/>
      <c r="U22" s="502"/>
      <c r="V22" s="697"/>
      <c r="W22" s="502"/>
      <c r="X22" s="697"/>
      <c r="Y22" s="502">
        <f>B22+D22+H22+F22+J22-M22-O22-Q22-S22-U22-W22</f>
        <v>0</v>
      </c>
      <c r="Z22" s="503">
        <f>C22+E22+G22+I22+K22+L22-N22-P22-R22-T22-V22-X22</f>
        <v>0</v>
      </c>
      <c r="AA22" s="500">
        <f>AD22/90</f>
        <v>0</v>
      </c>
      <c r="AB22" s="501">
        <v>0</v>
      </c>
      <c r="AC22" s="1256"/>
      <c r="AD22" s="1768"/>
      <c r="AE22" s="633"/>
      <c r="AF22" s="634">
        <v>2.7</v>
      </c>
      <c r="AG22" s="506">
        <f>AD22*AF22/1000</f>
        <v>0</v>
      </c>
      <c r="AH22" s="507">
        <f>AG22</f>
        <v>0</v>
      </c>
      <c r="AI22" s="508">
        <v>0</v>
      </c>
      <c r="AJ22" s="509">
        <v>9.5</v>
      </c>
      <c r="AK22" s="472"/>
      <c r="AL22" s="472"/>
      <c r="AM22" s="472"/>
      <c r="AN22" s="472"/>
      <c r="AO22" s="472"/>
    </row>
    <row r="23" spans="1:41" ht="15" hidden="1" customHeight="1" outlineLevel="2">
      <c r="A23" s="510" t="s">
        <v>16</v>
      </c>
      <c r="B23" s="730"/>
      <c r="C23" s="731"/>
      <c r="D23" s="1344"/>
      <c r="E23" s="1592"/>
      <c r="F23" s="730"/>
      <c r="G23" s="731"/>
      <c r="H23" s="730"/>
      <c r="I23" s="731"/>
      <c r="J23" s="2073"/>
      <c r="K23" s="1594"/>
      <c r="L23" s="731"/>
      <c r="M23" s="730"/>
      <c r="N23" s="731"/>
      <c r="O23" s="730"/>
      <c r="P23" s="731"/>
      <c r="Q23" s="730"/>
      <c r="R23" s="731"/>
      <c r="S23" s="730"/>
      <c r="T23" s="731"/>
      <c r="U23" s="730"/>
      <c r="V23" s="731"/>
      <c r="W23" s="730"/>
      <c r="X23" s="731"/>
      <c r="Y23" s="513">
        <f>B23+D23+H23+F23+J23-M23-O23-Q23-S23-U23-W23</f>
        <v>0</v>
      </c>
      <c r="Z23" s="514">
        <f>C23+E23+G23+I23+K23+L23-N23-P23-R23-T23-V23-X23</f>
        <v>0</v>
      </c>
      <c r="AA23" s="511">
        <f>AD23/90</f>
        <v>0</v>
      </c>
      <c r="AB23" s="512"/>
      <c r="AC23" s="1776"/>
      <c r="AD23" s="1777"/>
      <c r="AE23" s="635"/>
      <c r="AF23" s="906" t="e">
        <f>AG23/AD23*1000</f>
        <v>#DIV/0!</v>
      </c>
      <c r="AG23" s="516">
        <f>SUM(AH23:AI23)</f>
        <v>0</v>
      </c>
      <c r="AH23" s="517">
        <f>K66</f>
        <v>0</v>
      </c>
      <c r="AI23" s="517">
        <f>L66</f>
        <v>0</v>
      </c>
      <c r="AJ23" s="519">
        <f>E133</f>
        <v>0</v>
      </c>
      <c r="AK23" s="472"/>
      <c r="AL23" s="472"/>
      <c r="AM23" s="472"/>
      <c r="AN23" s="472"/>
      <c r="AO23" s="472"/>
    </row>
    <row r="24" spans="1:41" ht="15" hidden="1" customHeight="1" outlineLevel="2" thickBot="1">
      <c r="A24" s="636" t="s">
        <v>17</v>
      </c>
      <c r="B24" s="722">
        <f t="shared" ref="B24:AJ24" si="9">B23-B22</f>
        <v>0</v>
      </c>
      <c r="C24" s="694">
        <f t="shared" si="9"/>
        <v>0</v>
      </c>
      <c r="D24" s="695">
        <f t="shared" si="9"/>
        <v>0</v>
      </c>
      <c r="E24" s="644">
        <f t="shared" si="9"/>
        <v>0</v>
      </c>
      <c r="F24" s="693">
        <f t="shared" si="9"/>
        <v>0</v>
      </c>
      <c r="G24" s="644">
        <f t="shared" si="9"/>
        <v>0</v>
      </c>
      <c r="H24" s="695">
        <f t="shared" si="9"/>
        <v>0</v>
      </c>
      <c r="I24" s="646">
        <f t="shared" si="9"/>
        <v>0</v>
      </c>
      <c r="J24" s="1774">
        <f t="shared" si="9"/>
        <v>0</v>
      </c>
      <c r="K24" s="644">
        <f t="shared" si="9"/>
        <v>0</v>
      </c>
      <c r="L24" s="1249">
        <f t="shared" si="9"/>
        <v>0</v>
      </c>
      <c r="M24" s="693">
        <f t="shared" si="9"/>
        <v>0</v>
      </c>
      <c r="N24" s="644">
        <f t="shared" si="9"/>
        <v>0</v>
      </c>
      <c r="O24" s="695">
        <f t="shared" si="9"/>
        <v>0</v>
      </c>
      <c r="P24" s="646">
        <f t="shared" si="9"/>
        <v>0</v>
      </c>
      <c r="Q24" s="693">
        <f t="shared" si="9"/>
        <v>0</v>
      </c>
      <c r="R24" s="694">
        <f t="shared" si="9"/>
        <v>0</v>
      </c>
      <c r="S24" s="695">
        <f t="shared" si="9"/>
        <v>0</v>
      </c>
      <c r="T24" s="696">
        <f t="shared" si="9"/>
        <v>0</v>
      </c>
      <c r="U24" s="693">
        <f t="shared" si="9"/>
        <v>0</v>
      </c>
      <c r="V24" s="644">
        <f t="shared" si="9"/>
        <v>0</v>
      </c>
      <c r="W24" s="695">
        <f t="shared" si="9"/>
        <v>0</v>
      </c>
      <c r="X24" s="646">
        <f t="shared" si="9"/>
        <v>0</v>
      </c>
      <c r="Y24" s="643">
        <f t="shared" si="9"/>
        <v>0</v>
      </c>
      <c r="Z24" s="644">
        <f t="shared" si="9"/>
        <v>0</v>
      </c>
      <c r="AA24" s="645">
        <f t="shared" si="9"/>
        <v>0</v>
      </c>
      <c r="AB24" s="646">
        <v>0</v>
      </c>
      <c r="AC24" s="1774">
        <f t="shared" si="9"/>
        <v>0</v>
      </c>
      <c r="AD24" s="1775">
        <f t="shared" si="9"/>
        <v>0</v>
      </c>
      <c r="AE24" s="647">
        <f t="shared" si="9"/>
        <v>0</v>
      </c>
      <c r="AF24" s="648" t="e">
        <f t="shared" si="9"/>
        <v>#DIV/0!</v>
      </c>
      <c r="AG24" s="649">
        <f t="shared" si="9"/>
        <v>0</v>
      </c>
      <c r="AH24" s="650">
        <f>AG24-AI24</f>
        <v>0</v>
      </c>
      <c r="AI24" s="651">
        <f t="shared" si="9"/>
        <v>0</v>
      </c>
      <c r="AJ24" s="652">
        <f t="shared" si="9"/>
        <v>-9.5</v>
      </c>
      <c r="AK24" s="472"/>
      <c r="AL24" s="472"/>
      <c r="AM24" s="472"/>
      <c r="AN24" s="472"/>
      <c r="AO24" s="472"/>
    </row>
    <row r="25" spans="1:41" s="526" customFormat="1" ht="15" customHeight="1" collapsed="1">
      <c r="A25" s="525" t="s">
        <v>320</v>
      </c>
      <c r="B25" s="502">
        <f>'[1]св-во Шув-2'!B25</f>
        <v>2047</v>
      </c>
      <c r="C25" s="697">
        <f>'[1]св-во Шув-2'!C25</f>
        <v>2.8450000000000002</v>
      </c>
      <c r="D25" s="502">
        <f>'[1]св-во Шув-2'!D25+'[2]св-во Шув-2'!D25</f>
        <v>32713</v>
      </c>
      <c r="E25" s="1817">
        <f>'[1]св-во Шув-2'!E25+'[2]св-во Шув-2'!E25</f>
        <v>45.712400000000002</v>
      </c>
      <c r="F25" s="502"/>
      <c r="G25" s="697"/>
      <c r="H25" s="502"/>
      <c r="I25" s="697"/>
      <c r="J25" s="1256"/>
      <c r="K25" s="1593"/>
      <c r="L25" s="1593">
        <f>'[1]св-во Шув-2'!L25+'[2]св-во Шув-2'!L25</f>
        <v>199.12556000000001</v>
      </c>
      <c r="M25" s="502">
        <f>'[1]св-во Шув-2'!M25+'[2]св-во Шув-2'!M25</f>
        <v>28844.9</v>
      </c>
      <c r="N25" s="1817">
        <f>'[1]св-во Шув-2'!N25+'[2]св-во Шув-2'!N25</f>
        <v>234.59719999999999</v>
      </c>
      <c r="O25" s="502"/>
      <c r="P25" s="697"/>
      <c r="Q25" s="502"/>
      <c r="R25" s="697"/>
      <c r="S25" s="502"/>
      <c r="T25" s="697"/>
      <c r="U25" s="502">
        <f>'[1]св-во Шув-2'!U25+'[2]св-во Шув-2'!U25</f>
        <v>3456.1000000000004</v>
      </c>
      <c r="V25" s="1817">
        <f>'[1]св-во Шув-2'!V25+'[2]св-во Шув-2'!V25</f>
        <v>9.5565999999999995</v>
      </c>
      <c r="W25" s="502"/>
      <c r="X25" s="697"/>
      <c r="Y25" s="502">
        <f>B25+D25+H25+F25+J25-M25-O25-Q25-S25-U25-W25</f>
        <v>2458.9999999999982</v>
      </c>
      <c r="Z25" s="503">
        <f>C25+E25+G25+I25+K25+L25-N25-P25-R25-T25-V25-X25</f>
        <v>3.5291600000000223</v>
      </c>
      <c r="AA25" s="500">
        <f>AD25/90</f>
        <v>9973.4122222222213</v>
      </c>
      <c r="AB25" s="501">
        <f>(Z25+C25)/(Y25+B25)*AA25</f>
        <v>14.108327840745726</v>
      </c>
      <c r="AC25" s="1256">
        <f>'[1]св-во Шув-2'!AC25+'[2]св-во Шув-2'!AC25</f>
        <v>857193.45762711868</v>
      </c>
      <c r="AD25" s="1768">
        <f>'[1]св-во Шув-2'!AD25+'[2]св-во Шув-2'!AD25</f>
        <v>897607.1</v>
      </c>
      <c r="AE25" s="653">
        <f>L25*1000000/AC25</f>
        <v>232.29943979182832</v>
      </c>
      <c r="AF25" s="654">
        <v>2.5999999999999999E-2</v>
      </c>
      <c r="AG25" s="506">
        <f>AD25*AF25/1000</f>
        <v>23.337784599999999</v>
      </c>
      <c r="AH25" s="507">
        <f>AG25</f>
        <v>23.337784599999999</v>
      </c>
      <c r="AI25" s="508">
        <v>0</v>
      </c>
      <c r="AJ25" s="509">
        <v>37.200000000000003</v>
      </c>
    </row>
    <row r="26" spans="1:41" ht="15" customHeight="1" outlineLevel="1">
      <c r="A26" s="510" t="s">
        <v>16</v>
      </c>
      <c r="B26" s="2154">
        <v>2047</v>
      </c>
      <c r="C26" s="2155">
        <v>2.8450000000000002</v>
      </c>
      <c r="D26" s="2158">
        <v>33515</v>
      </c>
      <c r="E26" s="2159">
        <v>46.487000000000002</v>
      </c>
      <c r="F26" s="730"/>
      <c r="G26" s="731"/>
      <c r="H26" s="730"/>
      <c r="I26" s="731"/>
      <c r="J26" s="2073"/>
      <c r="K26" s="1594"/>
      <c r="L26" s="2157">
        <v>208.67699999999999</v>
      </c>
      <c r="M26" s="2158">
        <v>28519</v>
      </c>
      <c r="N26" s="2159">
        <v>245.26</v>
      </c>
      <c r="O26" s="730"/>
      <c r="P26" s="731"/>
      <c r="Q26" s="730"/>
      <c r="R26" s="731"/>
      <c r="S26" s="730"/>
      <c r="T26" s="731"/>
      <c r="U26" s="2158">
        <v>4449</v>
      </c>
      <c r="V26" s="2159">
        <v>9.1530000000000005</v>
      </c>
      <c r="W26" s="730"/>
      <c r="X26" s="731"/>
      <c r="Y26" s="513">
        <f>B26+D26+H26+F26+J26-M26-O26-Q26-S26-U26-W26</f>
        <v>2594</v>
      </c>
      <c r="Z26" s="514">
        <f>C26+E26+G26+I26+K26+L26-N26-P26-R26-T26-V26-X26</f>
        <v>3.5960000000000232</v>
      </c>
      <c r="AA26" s="511">
        <f>AD26/90</f>
        <v>9431.9222222222215</v>
      </c>
      <c r="AB26" s="512">
        <f>(Z26+C26)/(Y26+B26)*AA26</f>
        <v>13.090069173310397</v>
      </c>
      <c r="AC26" s="2161">
        <v>708129</v>
      </c>
      <c r="AD26" s="2160">
        <v>848873</v>
      </c>
      <c r="AE26" s="902">
        <f>L26*1000000/AC26</f>
        <v>294.68783230174165</v>
      </c>
      <c r="AF26" s="2145">
        <f>AG26/AD26*1000</f>
        <v>2.0686251064646888E-2</v>
      </c>
      <c r="AG26" s="516">
        <f>SUM(AH26:AI26)</f>
        <v>17.559999999999999</v>
      </c>
      <c r="AH26" s="517">
        <f>K69</f>
        <v>17.559999999999999</v>
      </c>
      <c r="AI26" s="517">
        <f>L69</f>
        <v>0</v>
      </c>
      <c r="AJ26" s="519">
        <f>E136</f>
        <v>0</v>
      </c>
      <c r="AK26" s="472"/>
      <c r="AL26" s="472"/>
      <c r="AM26" s="472"/>
      <c r="AN26" s="472"/>
      <c r="AO26" s="472"/>
    </row>
    <row r="27" spans="1:41" ht="15" customHeight="1" outlineLevel="1" thickBot="1">
      <c r="A27" s="636" t="s">
        <v>17</v>
      </c>
      <c r="B27" s="722">
        <f t="shared" ref="B27:AJ27" si="10">B26-B25</f>
        <v>0</v>
      </c>
      <c r="C27" s="694">
        <f t="shared" si="10"/>
        <v>0</v>
      </c>
      <c r="D27" s="695">
        <f t="shared" si="10"/>
        <v>802</v>
      </c>
      <c r="E27" s="644">
        <f t="shared" si="10"/>
        <v>0.77459999999999951</v>
      </c>
      <c r="F27" s="693">
        <f t="shared" si="10"/>
        <v>0</v>
      </c>
      <c r="G27" s="644">
        <f t="shared" si="10"/>
        <v>0</v>
      </c>
      <c r="H27" s="695">
        <f t="shared" si="10"/>
        <v>0</v>
      </c>
      <c r="I27" s="646">
        <f t="shared" si="10"/>
        <v>0</v>
      </c>
      <c r="J27" s="1774">
        <f t="shared" si="10"/>
        <v>0</v>
      </c>
      <c r="K27" s="644">
        <f t="shared" si="10"/>
        <v>0</v>
      </c>
      <c r="L27" s="1249">
        <f t="shared" si="10"/>
        <v>9.5514399999999853</v>
      </c>
      <c r="M27" s="643">
        <f t="shared" si="10"/>
        <v>-325.90000000000146</v>
      </c>
      <c r="N27" s="644">
        <f t="shared" si="10"/>
        <v>10.662800000000004</v>
      </c>
      <c r="O27" s="695">
        <f t="shared" si="10"/>
        <v>0</v>
      </c>
      <c r="P27" s="646">
        <f t="shared" si="10"/>
        <v>0</v>
      </c>
      <c r="Q27" s="693">
        <f t="shared" si="10"/>
        <v>0</v>
      </c>
      <c r="R27" s="694">
        <f t="shared" si="10"/>
        <v>0</v>
      </c>
      <c r="S27" s="695">
        <f t="shared" si="10"/>
        <v>0</v>
      </c>
      <c r="T27" s="696">
        <f t="shared" si="10"/>
        <v>0</v>
      </c>
      <c r="U27" s="643">
        <f t="shared" si="10"/>
        <v>992.89999999999964</v>
      </c>
      <c r="V27" s="644">
        <f t="shared" si="10"/>
        <v>-0.40359999999999907</v>
      </c>
      <c r="W27" s="695">
        <f t="shared" si="10"/>
        <v>0</v>
      </c>
      <c r="X27" s="646">
        <f t="shared" si="10"/>
        <v>0</v>
      </c>
      <c r="Y27" s="643">
        <f t="shared" si="10"/>
        <v>135.00000000000182</v>
      </c>
      <c r="Z27" s="644">
        <f t="shared" si="10"/>
        <v>6.6840000000000899E-2</v>
      </c>
      <c r="AA27" s="645">
        <f t="shared" si="10"/>
        <v>-541.48999999999978</v>
      </c>
      <c r="AB27" s="646">
        <f t="shared" si="10"/>
        <v>-1.0182586674353296</v>
      </c>
      <c r="AC27" s="1774">
        <f t="shared" si="10"/>
        <v>-149064.45762711868</v>
      </c>
      <c r="AD27" s="1775">
        <f t="shared" si="10"/>
        <v>-48734.099999999977</v>
      </c>
      <c r="AE27" s="647">
        <f t="shared" si="10"/>
        <v>62.388392509913331</v>
      </c>
      <c r="AF27" s="648">
        <f t="shared" si="10"/>
        <v>-5.313748935353111E-3</v>
      </c>
      <c r="AG27" s="649">
        <f t="shared" si="10"/>
        <v>-5.7777846000000004</v>
      </c>
      <c r="AH27" s="650">
        <f>AG27-AI27</f>
        <v>-5.7777846000000004</v>
      </c>
      <c r="AI27" s="651">
        <f t="shared" si="10"/>
        <v>0</v>
      </c>
      <c r="AJ27" s="652">
        <f t="shared" si="10"/>
        <v>-37.200000000000003</v>
      </c>
      <c r="AK27" s="472"/>
      <c r="AL27" s="472"/>
      <c r="AM27" s="472"/>
      <c r="AN27" s="472"/>
      <c r="AO27" s="472"/>
    </row>
    <row r="28" spans="1:41" s="526" customFormat="1" ht="15" customHeight="1">
      <c r="A28" s="525" t="s">
        <v>321</v>
      </c>
      <c r="B28" s="502">
        <f>'[1]св-во Шув-2'!B28</f>
        <v>4387</v>
      </c>
      <c r="C28" s="697">
        <f>'[1]св-во Шув-2'!C28</f>
        <v>33.646999999999998</v>
      </c>
      <c r="D28" s="502"/>
      <c r="E28" s="697"/>
      <c r="F28" s="502"/>
      <c r="G28" s="697"/>
      <c r="H28" s="502"/>
      <c r="I28" s="697"/>
      <c r="J28" s="502">
        <f>'[1]св-во Шув-2'!J28+'[2]св-во Шув-2'!J28</f>
        <v>28844.9</v>
      </c>
      <c r="K28" s="1817">
        <f>'[1]св-во Шув-2'!K28+'[2]св-во Шув-2'!K28</f>
        <v>234.59719999999999</v>
      </c>
      <c r="L28" s="1593">
        <f>'[1]св-во Шув-2'!L28+'[2]св-во Шув-2'!L28</f>
        <v>882.85329249999995</v>
      </c>
      <c r="M28" s="502">
        <f>'[1]св-во Шув-2'!M28+'[2]св-во Шув-2'!M28</f>
        <v>468</v>
      </c>
      <c r="N28" s="1817">
        <f>'[1]св-во Шув-2'!N28+'[2]св-во Шув-2'!N28</f>
        <v>18.251999999999999</v>
      </c>
      <c r="O28" s="502">
        <f>'[1]св-во Шув-2'!O28+'[2]св-во Шув-2'!O28</f>
        <v>27402</v>
      </c>
      <c r="P28" s="1817">
        <f>'[1]св-во Шув-2'!P28+'[2]св-во Шув-2'!P28</f>
        <v>1069.489</v>
      </c>
      <c r="Q28" s="502"/>
      <c r="R28" s="697"/>
      <c r="S28" s="502"/>
      <c r="T28" s="697"/>
      <c r="U28" s="502">
        <f>'[1]св-во Шув-2'!U28+'[2]св-во Шув-2'!U28</f>
        <v>687.62249999999995</v>
      </c>
      <c r="V28" s="1817">
        <f>'[1]св-во Шув-2'!V28+'[2]св-во Шув-2'!V28</f>
        <v>9.9497149999999994</v>
      </c>
      <c r="W28" s="502">
        <f>'[1]св-во Шув-2'!W28+'[2]св-во Шув-2'!W28</f>
        <v>743.62249999999995</v>
      </c>
      <c r="X28" s="1817">
        <f>'[1]св-во Шув-2'!X28+'[2]св-во Шув-2'!X28</f>
        <v>19.3195625</v>
      </c>
      <c r="Y28" s="502">
        <f>B28+D28+H28+F28+J28-M28-O28-Q28-S28-U28-W28</f>
        <v>3930.655000000002</v>
      </c>
      <c r="Z28" s="503">
        <f>C28+E28+G28+I28+K28+L28-N28-P28-R28-T28-V28-X28</f>
        <v>34.087215000000057</v>
      </c>
      <c r="AA28" s="500">
        <f>AD28/90</f>
        <v>17205.923305555556</v>
      </c>
      <c r="AB28" s="501">
        <f>(Z28+C28)/(Y28+B28)*AA28</f>
        <v>140.11517770958417</v>
      </c>
      <c r="AC28" s="1256">
        <f>'[1]св-во Шув-2'!AC28+'[2]св-во Шув-2'!AC28</f>
        <v>1794417.2611788618</v>
      </c>
      <c r="AD28" s="1768">
        <f>'[1]св-во Шув-2'!AD28+'[2]св-во Шув-2'!AD28</f>
        <v>1548533.0975000001</v>
      </c>
      <c r="AE28" s="653">
        <f>L28*1000000/AC28</f>
        <v>492</v>
      </c>
      <c r="AF28" s="654">
        <v>0.9</v>
      </c>
      <c r="AG28" s="506">
        <f>AD28*AF28/1000</f>
        <v>1393.6797877500001</v>
      </c>
      <c r="AH28" s="507">
        <f>AG28</f>
        <v>1393.6797877500001</v>
      </c>
      <c r="AI28" s="508">
        <v>0</v>
      </c>
      <c r="AJ28" s="509">
        <v>0</v>
      </c>
    </row>
    <row r="29" spans="1:41" ht="15" customHeight="1" outlineLevel="1">
      <c r="A29" s="510" t="s">
        <v>16</v>
      </c>
      <c r="B29" s="2154">
        <v>4387</v>
      </c>
      <c r="C29" s="2155">
        <v>33.677500000000002</v>
      </c>
      <c r="D29" s="730"/>
      <c r="E29" s="731"/>
      <c r="F29" s="730"/>
      <c r="G29" s="731"/>
      <c r="H29" s="730"/>
      <c r="I29" s="731"/>
      <c r="J29" s="2156">
        <f>M26</f>
        <v>28519</v>
      </c>
      <c r="K29" s="2157">
        <f>N26</f>
        <v>245.26</v>
      </c>
      <c r="L29" s="2157">
        <v>836.96299999999997</v>
      </c>
      <c r="M29" s="2158">
        <f>26556-O29</f>
        <v>298</v>
      </c>
      <c r="N29" s="2159">
        <f>1035.125-P29</f>
        <v>11.355999999999995</v>
      </c>
      <c r="O29" s="2156">
        <v>26258</v>
      </c>
      <c r="P29" s="2159">
        <v>1023.769</v>
      </c>
      <c r="Q29" s="730"/>
      <c r="R29" s="731"/>
      <c r="S29" s="730"/>
      <c r="T29" s="731"/>
      <c r="U29" s="2158">
        <v>661</v>
      </c>
      <c r="V29" s="2159">
        <v>12.202999999999999</v>
      </c>
      <c r="W29" s="2158">
        <v>1099</v>
      </c>
      <c r="X29" s="2159">
        <v>34.01</v>
      </c>
      <c r="Y29" s="513">
        <f>B29+D29+H29+F29+J29-M29-O29-Q29-S29-U29-W29</f>
        <v>4590</v>
      </c>
      <c r="Z29" s="514">
        <f>C29+E29+G29+I29+K29+L29-N29-P29-R29-T29-V29-X29</f>
        <v>34.562499999999964</v>
      </c>
      <c r="AA29" s="511">
        <f>AD29/90</f>
        <v>18784</v>
      </c>
      <c r="AB29" s="512">
        <f>(Z29+C29)/(Y29+B29)*AA29</f>
        <v>142.78936838587495</v>
      </c>
      <c r="AC29" s="2161">
        <v>1694242</v>
      </c>
      <c r="AD29" s="2160">
        <v>1690560</v>
      </c>
      <c r="AE29" s="902">
        <f>L29*1000000/AC29</f>
        <v>494.00439842714326</v>
      </c>
      <c r="AF29" s="2145">
        <f>AG29/AD29*1000</f>
        <v>0.99215703672155964</v>
      </c>
      <c r="AG29" s="516">
        <f>SUM(AH29:AI29)</f>
        <v>1677.3009999999999</v>
      </c>
      <c r="AH29" s="517">
        <f>K72</f>
        <v>1677.3009999999999</v>
      </c>
      <c r="AI29" s="517">
        <f>L72</f>
        <v>0</v>
      </c>
      <c r="AJ29" s="519">
        <f>E139</f>
        <v>0</v>
      </c>
      <c r="AK29" s="472"/>
      <c r="AL29" s="472"/>
      <c r="AM29" s="472"/>
      <c r="AN29" s="472"/>
      <c r="AO29" s="472"/>
    </row>
    <row r="30" spans="1:41" ht="15" customHeight="1" outlineLevel="1" thickBot="1">
      <c r="A30" s="636" t="s">
        <v>17</v>
      </c>
      <c r="B30" s="722">
        <f t="shared" ref="B30:AJ30" si="11">B29-B28</f>
        <v>0</v>
      </c>
      <c r="C30" s="694">
        <f t="shared" si="11"/>
        <v>3.0500000000003524E-2</v>
      </c>
      <c r="D30" s="695">
        <f t="shared" si="11"/>
        <v>0</v>
      </c>
      <c r="E30" s="644">
        <f t="shared" si="11"/>
        <v>0</v>
      </c>
      <c r="F30" s="693">
        <f t="shared" si="11"/>
        <v>0</v>
      </c>
      <c r="G30" s="644">
        <f t="shared" si="11"/>
        <v>0</v>
      </c>
      <c r="H30" s="695">
        <f t="shared" si="11"/>
        <v>0</v>
      </c>
      <c r="I30" s="646">
        <f t="shared" si="11"/>
        <v>0</v>
      </c>
      <c r="J30" s="1774">
        <f t="shared" si="11"/>
        <v>-325.90000000000146</v>
      </c>
      <c r="K30" s="644">
        <f t="shared" si="11"/>
        <v>10.662800000000004</v>
      </c>
      <c r="L30" s="1595">
        <f t="shared" si="11"/>
        <v>-45.890292499999987</v>
      </c>
      <c r="M30" s="693">
        <f t="shared" si="11"/>
        <v>-170</v>
      </c>
      <c r="N30" s="644">
        <f t="shared" si="11"/>
        <v>-6.8960000000000043</v>
      </c>
      <c r="O30" s="695">
        <f t="shared" si="11"/>
        <v>-1144</v>
      </c>
      <c r="P30" s="646">
        <f t="shared" si="11"/>
        <v>-45.720000000000027</v>
      </c>
      <c r="Q30" s="693">
        <f t="shared" si="11"/>
        <v>0</v>
      </c>
      <c r="R30" s="694">
        <f t="shared" si="11"/>
        <v>0</v>
      </c>
      <c r="S30" s="695">
        <f t="shared" si="11"/>
        <v>0</v>
      </c>
      <c r="T30" s="696">
        <f t="shared" si="11"/>
        <v>0</v>
      </c>
      <c r="U30" s="643">
        <f t="shared" si="11"/>
        <v>-26.622499999999945</v>
      </c>
      <c r="V30" s="644">
        <f t="shared" si="11"/>
        <v>2.253285</v>
      </c>
      <c r="W30" s="695">
        <f t="shared" si="11"/>
        <v>355.37750000000005</v>
      </c>
      <c r="X30" s="646">
        <f t="shared" si="11"/>
        <v>14.690437499999998</v>
      </c>
      <c r="Y30" s="643">
        <f t="shared" si="11"/>
        <v>659.34499999999798</v>
      </c>
      <c r="Z30" s="644">
        <f t="shared" si="11"/>
        <v>0.47528499999990714</v>
      </c>
      <c r="AA30" s="645">
        <f t="shared" si="11"/>
        <v>1578.076694444444</v>
      </c>
      <c r="AB30" s="646">
        <f t="shared" si="11"/>
        <v>2.6741906762907774</v>
      </c>
      <c r="AC30" s="1774">
        <f t="shared" si="11"/>
        <v>-100175.26117886184</v>
      </c>
      <c r="AD30" s="1775">
        <f t="shared" si="11"/>
        <v>142026.90249999985</v>
      </c>
      <c r="AE30" s="647">
        <f t="shared" si="11"/>
        <v>2.0043984271432578</v>
      </c>
      <c r="AF30" s="648">
        <f t="shared" si="11"/>
        <v>9.2157036721559615E-2</v>
      </c>
      <c r="AG30" s="649">
        <f t="shared" si="11"/>
        <v>283.62121224999987</v>
      </c>
      <c r="AH30" s="650">
        <f>AG30-AI30</f>
        <v>283.62121224999987</v>
      </c>
      <c r="AI30" s="651">
        <f t="shared" si="11"/>
        <v>0</v>
      </c>
      <c r="AJ30" s="652">
        <f t="shared" si="11"/>
        <v>0</v>
      </c>
      <c r="AK30" s="472"/>
      <c r="AL30" s="472"/>
      <c r="AM30" s="472"/>
      <c r="AN30" s="472"/>
      <c r="AO30" s="472"/>
    </row>
    <row r="31" spans="1:41" ht="15" customHeight="1">
      <c r="A31" s="528" t="s">
        <v>311</v>
      </c>
      <c r="B31" s="502"/>
      <c r="C31" s="697"/>
      <c r="D31" s="502"/>
      <c r="E31" s="697"/>
      <c r="F31" s="502"/>
      <c r="G31" s="697"/>
      <c r="H31" s="502"/>
      <c r="I31" s="697"/>
      <c r="J31" s="502">
        <f>'[1]св-во Шув-2'!J31+'[2]св-во Шув-2'!J31</f>
        <v>528</v>
      </c>
      <c r="K31" s="1817">
        <f>'[1]св-во Шув-2'!K31+'[2]св-во Шув-2'!K31</f>
        <v>79.2</v>
      </c>
      <c r="L31" s="1593">
        <f>'[1]св-во Шув-2'!L31+'[2]св-во Шув-2'!L31</f>
        <v>40.193000000000012</v>
      </c>
      <c r="M31" s="502"/>
      <c r="N31" s="697"/>
      <c r="O31" s="502"/>
      <c r="P31" s="697"/>
      <c r="Q31" s="502">
        <f>'[1]св-во Шув-2'!Q31+'[2]св-во Шув-2'!Q31</f>
        <v>528</v>
      </c>
      <c r="R31" s="1817">
        <f>'[1]св-во Шув-2'!R31+'[2]св-во Шув-2'!R31</f>
        <v>119.39300000000003</v>
      </c>
      <c r="S31" s="502"/>
      <c r="T31" s="697"/>
      <c r="U31" s="502"/>
      <c r="V31" s="697"/>
      <c r="W31" s="502"/>
      <c r="X31" s="697"/>
      <c r="Y31" s="502">
        <f>B31+D31+H31+F31+J31-M31-O31-Q31-S31-U31-W31</f>
        <v>0</v>
      </c>
      <c r="Z31" s="503">
        <f>C31+E31+G31+I31+K31+L31-N31-P31-R31-T31-V31-X31</f>
        <v>-1.4210854715202004E-14</v>
      </c>
      <c r="AA31" s="500">
        <f>AD31/90</f>
        <v>0</v>
      </c>
      <c r="AB31" s="501">
        <v>0</v>
      </c>
      <c r="AC31" s="1256"/>
      <c r="AD31" s="1768"/>
      <c r="AE31" s="633"/>
      <c r="AF31" s="655"/>
      <c r="AG31" s="506">
        <v>0</v>
      </c>
      <c r="AH31" s="592"/>
      <c r="AI31" s="593"/>
      <c r="AJ31" s="594"/>
      <c r="AK31" s="472"/>
      <c r="AL31" s="472"/>
      <c r="AM31" s="472"/>
      <c r="AN31" s="472"/>
      <c r="AO31" s="472"/>
    </row>
    <row r="32" spans="1:41" ht="15" customHeight="1" outlineLevel="1">
      <c r="A32" s="510" t="s">
        <v>16</v>
      </c>
      <c r="B32" s="730"/>
      <c r="C32" s="731"/>
      <c r="D32" s="730"/>
      <c r="E32" s="731"/>
      <c r="F32" s="730"/>
      <c r="G32" s="731"/>
      <c r="H32" s="730"/>
      <c r="I32" s="731"/>
      <c r="J32" s="2156">
        <f>M14</f>
        <v>628</v>
      </c>
      <c r="K32" s="2157">
        <f>N14</f>
        <v>92.873000000000005</v>
      </c>
      <c r="L32" s="2157">
        <f>R32-K32</f>
        <v>37.171999999999983</v>
      </c>
      <c r="M32" s="730"/>
      <c r="N32" s="731"/>
      <c r="O32" s="730"/>
      <c r="P32" s="731"/>
      <c r="Q32" s="2158">
        <f>J32</f>
        <v>628</v>
      </c>
      <c r="R32" s="2157">
        <v>130.04499999999999</v>
      </c>
      <c r="S32" s="730"/>
      <c r="T32" s="731"/>
      <c r="U32" s="730"/>
      <c r="V32" s="731"/>
      <c r="W32" s="730"/>
      <c r="X32" s="731"/>
      <c r="Y32" s="513">
        <f>B32+D32+H32+F32+J32-M32-O32-Q32-S32-U32-W32</f>
        <v>0</v>
      </c>
      <c r="Z32" s="514">
        <f>C32+E32+G32+I32+K32+L32-N32-P32-R32-T32-V32-X32</f>
        <v>0</v>
      </c>
      <c r="AA32" s="511">
        <f>AD32/90</f>
        <v>0</v>
      </c>
      <c r="AB32" s="512"/>
      <c r="AC32" s="1776"/>
      <c r="AD32" s="1777"/>
      <c r="AE32" s="635"/>
      <c r="AF32" s="906" t="e">
        <f>AG32/AD32*1000</f>
        <v>#DIV/0!</v>
      </c>
      <c r="AG32" s="516"/>
      <c r="AH32" s="517">
        <f>K75</f>
        <v>3388.9599999999996</v>
      </c>
      <c r="AI32" s="517">
        <f>L75</f>
        <v>0.21</v>
      </c>
      <c r="AJ32" s="519">
        <f>E142</f>
        <v>0</v>
      </c>
      <c r="AK32" s="472"/>
      <c r="AL32" s="472"/>
      <c r="AM32" s="472"/>
      <c r="AN32" s="472"/>
      <c r="AO32" s="472"/>
    </row>
    <row r="33" spans="1:41" ht="15" customHeight="1" outlineLevel="1" thickBot="1">
      <c r="A33" s="636" t="s">
        <v>17</v>
      </c>
      <c r="B33" s="722">
        <f t="shared" ref="B33:AJ33" si="12">B32-B31</f>
        <v>0</v>
      </c>
      <c r="C33" s="694">
        <f t="shared" si="12"/>
        <v>0</v>
      </c>
      <c r="D33" s="695">
        <f t="shared" si="12"/>
        <v>0</v>
      </c>
      <c r="E33" s="644">
        <f t="shared" si="12"/>
        <v>0</v>
      </c>
      <c r="F33" s="693">
        <f t="shared" si="12"/>
        <v>0</v>
      </c>
      <c r="G33" s="644">
        <f t="shared" si="12"/>
        <v>0</v>
      </c>
      <c r="H33" s="695">
        <f t="shared" si="12"/>
        <v>0</v>
      </c>
      <c r="I33" s="646">
        <f t="shared" si="12"/>
        <v>0</v>
      </c>
      <c r="J33" s="1774">
        <f t="shared" si="12"/>
        <v>100</v>
      </c>
      <c r="K33" s="644">
        <f t="shared" si="12"/>
        <v>13.673000000000002</v>
      </c>
      <c r="L33" s="1249">
        <f t="shared" si="12"/>
        <v>-3.0210000000000292</v>
      </c>
      <c r="M33" s="693">
        <f t="shared" si="12"/>
        <v>0</v>
      </c>
      <c r="N33" s="644">
        <f t="shared" si="12"/>
        <v>0</v>
      </c>
      <c r="O33" s="695">
        <f t="shared" si="12"/>
        <v>0</v>
      </c>
      <c r="P33" s="646">
        <f t="shared" si="12"/>
        <v>0</v>
      </c>
      <c r="Q33" s="693">
        <f t="shared" si="12"/>
        <v>100</v>
      </c>
      <c r="R33" s="694">
        <f t="shared" si="12"/>
        <v>10.651999999999958</v>
      </c>
      <c r="S33" s="695">
        <f t="shared" si="12"/>
        <v>0</v>
      </c>
      <c r="T33" s="696">
        <f t="shared" si="12"/>
        <v>0</v>
      </c>
      <c r="U33" s="693">
        <f t="shared" si="12"/>
        <v>0</v>
      </c>
      <c r="V33" s="644">
        <f t="shared" si="12"/>
        <v>0</v>
      </c>
      <c r="W33" s="695">
        <f t="shared" si="12"/>
        <v>0</v>
      </c>
      <c r="X33" s="646">
        <f t="shared" si="12"/>
        <v>0</v>
      </c>
      <c r="Y33" s="643">
        <f t="shared" si="12"/>
        <v>0</v>
      </c>
      <c r="Z33" s="644">
        <f t="shared" si="12"/>
        <v>1.4210854715202004E-14</v>
      </c>
      <c r="AA33" s="645">
        <f t="shared" si="12"/>
        <v>0</v>
      </c>
      <c r="AB33" s="646">
        <v>0</v>
      </c>
      <c r="AC33" s="1774">
        <f t="shared" si="12"/>
        <v>0</v>
      </c>
      <c r="AD33" s="1775">
        <f t="shared" si="12"/>
        <v>0</v>
      </c>
      <c r="AE33" s="647">
        <f t="shared" si="12"/>
        <v>0</v>
      </c>
      <c r="AF33" s="648" t="e">
        <f t="shared" si="12"/>
        <v>#DIV/0!</v>
      </c>
      <c r="AG33" s="649">
        <f t="shared" si="12"/>
        <v>0</v>
      </c>
      <c r="AH33" s="650">
        <f>AG33-AI33</f>
        <v>-0.21</v>
      </c>
      <c r="AI33" s="651">
        <f t="shared" si="12"/>
        <v>0.21</v>
      </c>
      <c r="AJ33" s="652">
        <f t="shared" si="12"/>
        <v>0</v>
      </c>
      <c r="AK33" s="472"/>
      <c r="AL33" s="472"/>
      <c r="AM33" s="472"/>
      <c r="AN33" s="472"/>
      <c r="AO33" s="472"/>
    </row>
    <row r="34" spans="1:41" ht="15" customHeight="1" thickBot="1">
      <c r="A34" s="530" t="s">
        <v>37</v>
      </c>
      <c r="B34" s="698">
        <f>B7+B10+B13+B16+B19+B22+B25+B28+B31</f>
        <v>7893</v>
      </c>
      <c r="C34" s="699">
        <f>C7+C10+C13+C16+C19+C22+C25+C28+C31</f>
        <v>233.255</v>
      </c>
      <c r="D34" s="661">
        <f t="shared" ref="D34:AB35" si="13">D7+D10+D13+D16+D19+D22+D25+D28+D31</f>
        <v>32713</v>
      </c>
      <c r="E34" s="699">
        <f t="shared" si="13"/>
        <v>45.712400000000002</v>
      </c>
      <c r="F34" s="698">
        <f t="shared" si="13"/>
        <v>0</v>
      </c>
      <c r="G34" s="699">
        <f t="shared" si="13"/>
        <v>0</v>
      </c>
      <c r="H34" s="698">
        <f t="shared" si="13"/>
        <v>698</v>
      </c>
      <c r="I34" s="699">
        <f t="shared" si="13"/>
        <v>86.088000000000008</v>
      </c>
      <c r="J34" s="2074">
        <f t="shared" si="13"/>
        <v>30821.9</v>
      </c>
      <c r="K34" s="699">
        <f t="shared" si="13"/>
        <v>475.97819999999996</v>
      </c>
      <c r="L34" s="700">
        <f>L7+L10+L13+L16+L19+L22+L25+L28+L31</f>
        <v>1189.0398524999998</v>
      </c>
      <c r="M34" s="698">
        <f t="shared" si="13"/>
        <v>30821.9</v>
      </c>
      <c r="N34" s="699">
        <f t="shared" si="13"/>
        <v>476.00920000000002</v>
      </c>
      <c r="O34" s="698">
        <f t="shared" si="13"/>
        <v>27402</v>
      </c>
      <c r="P34" s="699">
        <f t="shared" si="13"/>
        <v>1069.489</v>
      </c>
      <c r="Q34" s="698">
        <f t="shared" si="13"/>
        <v>724</v>
      </c>
      <c r="R34" s="699">
        <f t="shared" si="13"/>
        <v>140.04500000000002</v>
      </c>
      <c r="S34" s="698">
        <f t="shared" si="13"/>
        <v>0</v>
      </c>
      <c r="T34" s="699">
        <f t="shared" si="13"/>
        <v>0</v>
      </c>
      <c r="U34" s="698">
        <f t="shared" si="13"/>
        <v>4165.7224999999999</v>
      </c>
      <c r="V34" s="699">
        <f t="shared" si="13"/>
        <v>22.926314999999999</v>
      </c>
      <c r="W34" s="698">
        <f t="shared" si="13"/>
        <v>743.62249999999995</v>
      </c>
      <c r="X34" s="699">
        <f t="shared" si="13"/>
        <v>19.3195625</v>
      </c>
      <c r="Y34" s="698">
        <f t="shared" si="13"/>
        <v>8268.6550000000007</v>
      </c>
      <c r="Z34" s="699">
        <f t="shared" si="13"/>
        <v>302.28437500000013</v>
      </c>
      <c r="AA34" s="698">
        <f t="shared" si="13"/>
        <v>33476.441083333331</v>
      </c>
      <c r="AB34" s="699">
        <f t="shared" si="13"/>
        <v>1039.0047013226574</v>
      </c>
      <c r="AC34" s="1778">
        <f>AC7+AC10+AC13+AC16+AC19+AC22+AC25+AC28+AC31</f>
        <v>2761468.7188059804</v>
      </c>
      <c r="AD34" s="1778">
        <f t="shared" ref="AD34" si="14">AD7+AD10+AD13+AD16+AD19+AD22+AD25+AD28+AD31</f>
        <v>3012879.6975000002</v>
      </c>
      <c r="AE34" s="661">
        <f>L34*1000000/AC34</f>
        <v>430.58240870246885</v>
      </c>
      <c r="AF34" s="2146">
        <f>AG34/AD34*1000</f>
        <v>1.0603233262187028</v>
      </c>
      <c r="AG34" s="701">
        <f t="shared" ref="AG34:AJ35" si="15">AG7+AG10+AG13+AG16+AG19+AG22+AG25+AG28+AG31</f>
        <v>3194.6266223499997</v>
      </c>
      <c r="AH34" s="701">
        <f t="shared" si="15"/>
        <v>3194.6266223499997</v>
      </c>
      <c r="AI34" s="701">
        <f t="shared" si="15"/>
        <v>0</v>
      </c>
      <c r="AJ34" s="701">
        <f t="shared" si="15"/>
        <v>61.300000000000004</v>
      </c>
      <c r="AK34" s="472"/>
      <c r="AL34" s="472"/>
      <c r="AM34" s="472"/>
      <c r="AN34" s="472"/>
      <c r="AO34" s="472"/>
    </row>
    <row r="35" spans="1:41" ht="15" customHeight="1" outlineLevel="1" thickBot="1">
      <c r="A35" s="662" t="s">
        <v>38</v>
      </c>
      <c r="B35" s="657">
        <f>B8+B11+B14+B17+B20+B23+B26+B29+B32</f>
        <v>7893</v>
      </c>
      <c r="C35" s="658">
        <f>C8+C11+C14+C17+C20+C23+C26+C29+C32</f>
        <v>233.28550000000001</v>
      </c>
      <c r="D35" s="657">
        <f t="shared" si="13"/>
        <v>33515</v>
      </c>
      <c r="E35" s="658">
        <f t="shared" si="13"/>
        <v>46.487000000000002</v>
      </c>
      <c r="F35" s="657">
        <f t="shared" si="13"/>
        <v>12</v>
      </c>
      <c r="G35" s="658">
        <f t="shared" si="13"/>
        <v>1.8</v>
      </c>
      <c r="H35" s="657">
        <f t="shared" si="13"/>
        <v>686</v>
      </c>
      <c r="I35" s="658">
        <f t="shared" si="13"/>
        <v>80.41</v>
      </c>
      <c r="J35" s="1780">
        <f t="shared" si="13"/>
        <v>30716</v>
      </c>
      <c r="K35" s="658">
        <f t="shared" si="13"/>
        <v>525.62199999999996</v>
      </c>
      <c r="L35" s="659">
        <f t="shared" si="13"/>
        <v>1141.58</v>
      </c>
      <c r="M35" s="657">
        <f t="shared" si="13"/>
        <v>30716</v>
      </c>
      <c r="N35" s="658">
        <f t="shared" si="13"/>
        <v>525.62199999999996</v>
      </c>
      <c r="O35" s="657">
        <f t="shared" si="13"/>
        <v>26270</v>
      </c>
      <c r="P35" s="658">
        <f t="shared" si="13"/>
        <v>1045.1089999999999</v>
      </c>
      <c r="Q35" s="657">
        <f t="shared" si="13"/>
        <v>907</v>
      </c>
      <c r="R35" s="658">
        <f t="shared" si="13"/>
        <v>171.75099999999998</v>
      </c>
      <c r="S35" s="657">
        <f t="shared" si="13"/>
        <v>0</v>
      </c>
      <c r="T35" s="658">
        <f t="shared" si="13"/>
        <v>0</v>
      </c>
      <c r="U35" s="657">
        <f t="shared" si="13"/>
        <v>5159</v>
      </c>
      <c r="V35" s="658">
        <f t="shared" si="13"/>
        <v>30.227999999999998</v>
      </c>
      <c r="W35" s="657">
        <f t="shared" si="13"/>
        <v>1162</v>
      </c>
      <c r="X35" s="658">
        <f t="shared" si="13"/>
        <v>44.866999999999997</v>
      </c>
      <c r="Y35" s="657">
        <f t="shared" si="13"/>
        <v>8608</v>
      </c>
      <c r="Z35" s="658">
        <f t="shared" si="13"/>
        <v>211.60749999999999</v>
      </c>
      <c r="AA35" s="657">
        <f t="shared" si="13"/>
        <v>34321.033333333333</v>
      </c>
      <c r="AB35" s="658">
        <f>AB8+AB11+AB14+AB17+AB20+AB23+AB26+AB29+AB32</f>
        <v>937.19404514310304</v>
      </c>
      <c r="AC35" s="1779">
        <f t="shared" ref="AC35:AD35" si="16">AC8+AC11+AC14+AC17+AC20+AC23+AC26+AC29+AC32</f>
        <v>2482836</v>
      </c>
      <c r="AD35" s="1780">
        <f t="shared" si="16"/>
        <v>3088893</v>
      </c>
      <c r="AE35" s="698">
        <f>L35*1000000/AC35</f>
        <v>459.78872547361163</v>
      </c>
      <c r="AF35" s="2146">
        <f>AG35/AD35*1000</f>
        <v>1.0972118490345892</v>
      </c>
      <c r="AG35" s="660">
        <f t="shared" si="15"/>
        <v>3389.1699999999996</v>
      </c>
      <c r="AH35" s="660">
        <f t="shared" si="15"/>
        <v>6777.9199999999992</v>
      </c>
      <c r="AI35" s="660">
        <f t="shared" si="15"/>
        <v>0.42</v>
      </c>
      <c r="AJ35" s="701">
        <f t="shared" si="15"/>
        <v>73.181146741353814</v>
      </c>
      <c r="AK35" s="472"/>
      <c r="AL35" s="472"/>
      <c r="AM35" s="472"/>
      <c r="AN35" s="472"/>
      <c r="AO35" s="472"/>
    </row>
    <row r="36" spans="1:41" ht="15" customHeight="1" outlineLevel="1" thickBot="1">
      <c r="A36" s="532" t="s">
        <v>17</v>
      </c>
      <c r="B36" s="656">
        <f t="shared" ref="B36:AJ36" si="17">B35-B34</f>
        <v>0</v>
      </c>
      <c r="C36" s="638">
        <f t="shared" si="17"/>
        <v>3.0500000000017735E-2</v>
      </c>
      <c r="D36" s="656">
        <f t="shared" si="17"/>
        <v>802</v>
      </c>
      <c r="E36" s="638">
        <f t="shared" si="17"/>
        <v>0.77459999999999951</v>
      </c>
      <c r="F36" s="656">
        <f t="shared" si="17"/>
        <v>12</v>
      </c>
      <c r="G36" s="638">
        <f t="shared" si="17"/>
        <v>1.8</v>
      </c>
      <c r="H36" s="656">
        <f t="shared" si="17"/>
        <v>-12</v>
      </c>
      <c r="I36" s="638">
        <f t="shared" si="17"/>
        <v>-5.6780000000000115</v>
      </c>
      <c r="J36" s="1781">
        <f t="shared" si="17"/>
        <v>-105.90000000000146</v>
      </c>
      <c r="K36" s="638">
        <f t="shared" si="17"/>
        <v>49.643799999999999</v>
      </c>
      <c r="L36" s="663">
        <f t="shared" si="17"/>
        <v>-47.459852499999897</v>
      </c>
      <c r="M36" s="656">
        <f t="shared" si="17"/>
        <v>-105.90000000000146</v>
      </c>
      <c r="N36" s="638">
        <f t="shared" si="17"/>
        <v>49.612799999999936</v>
      </c>
      <c r="O36" s="656">
        <f t="shared" si="17"/>
        <v>-1132</v>
      </c>
      <c r="P36" s="638">
        <f t="shared" si="17"/>
        <v>-24.380000000000109</v>
      </c>
      <c r="Q36" s="656">
        <f t="shared" si="17"/>
        <v>183</v>
      </c>
      <c r="R36" s="638">
        <f t="shared" si="17"/>
        <v>31.70599999999996</v>
      </c>
      <c r="S36" s="656">
        <f t="shared" si="17"/>
        <v>0</v>
      </c>
      <c r="T36" s="638">
        <f t="shared" si="17"/>
        <v>0</v>
      </c>
      <c r="U36" s="656">
        <f t="shared" si="17"/>
        <v>993.27750000000015</v>
      </c>
      <c r="V36" s="638">
        <f t="shared" si="17"/>
        <v>7.3016849999999991</v>
      </c>
      <c r="W36" s="656">
        <f t="shared" si="17"/>
        <v>418.37750000000005</v>
      </c>
      <c r="X36" s="638">
        <f t="shared" si="17"/>
        <v>25.547437499999997</v>
      </c>
      <c r="Y36" s="656">
        <f t="shared" si="17"/>
        <v>339.34499999999935</v>
      </c>
      <c r="Z36" s="638">
        <f t="shared" si="17"/>
        <v>-90.676875000000138</v>
      </c>
      <c r="AA36" s="656">
        <f t="shared" si="17"/>
        <v>844.59225000000151</v>
      </c>
      <c r="AB36" s="638">
        <f t="shared" si="17"/>
        <v>-101.81065617955437</v>
      </c>
      <c r="AC36" s="1781">
        <f t="shared" si="17"/>
        <v>-278632.7188059804</v>
      </c>
      <c r="AD36" s="1782">
        <f t="shared" si="17"/>
        <v>76013.302499999758</v>
      </c>
      <c r="AE36" s="1609">
        <f t="shared" si="17"/>
        <v>29.206316771142781</v>
      </c>
      <c r="AF36" s="1610">
        <f t="shared" si="17"/>
        <v>3.6888522815886393E-2</v>
      </c>
      <c r="AG36" s="656">
        <f t="shared" si="17"/>
        <v>194.54337764999991</v>
      </c>
      <c r="AH36" s="665">
        <f t="shared" si="17"/>
        <v>3583.2933776499995</v>
      </c>
      <c r="AI36" s="664">
        <f t="shared" si="17"/>
        <v>0.42</v>
      </c>
      <c r="AJ36" s="666">
        <f t="shared" si="17"/>
        <v>11.88114674135381</v>
      </c>
      <c r="AK36" s="472"/>
      <c r="AL36" s="472"/>
      <c r="AM36" s="472"/>
      <c r="AN36" s="472"/>
      <c r="AO36" s="472"/>
    </row>
    <row r="37" spans="1:41" ht="15" customHeight="1" outlineLevel="1">
      <c r="A37" s="667"/>
      <c r="B37" s="581"/>
      <c r="C37" s="582"/>
      <c r="D37" s="581"/>
      <c r="E37" s="582"/>
      <c r="F37" s="581"/>
      <c r="G37" s="582"/>
      <c r="H37" s="581"/>
      <c r="I37" s="582"/>
      <c r="J37" s="1783"/>
      <c r="K37" s="581"/>
      <c r="L37" s="582"/>
      <c r="M37" s="581"/>
      <c r="N37" s="582"/>
      <c r="O37" s="581"/>
      <c r="P37" s="582"/>
      <c r="Q37" s="581"/>
      <c r="R37" s="582"/>
      <c r="S37" s="581"/>
      <c r="T37" s="582"/>
      <c r="U37" s="581"/>
      <c r="V37" s="582"/>
      <c r="W37" s="581"/>
      <c r="X37" s="582"/>
      <c r="Y37" s="581"/>
      <c r="Z37" s="582"/>
      <c r="AA37" s="581"/>
      <c r="AB37" s="582"/>
      <c r="AC37" s="1783"/>
      <c r="AD37" s="1783"/>
      <c r="AE37" s="581"/>
      <c r="AF37" s="581"/>
      <c r="AG37" s="581"/>
      <c r="AH37" s="581"/>
      <c r="AI37" s="581"/>
      <c r="AJ37" s="581"/>
      <c r="AK37" s="581"/>
      <c r="AL37" s="472"/>
      <c r="AM37" s="472"/>
      <c r="AN37" s="472"/>
      <c r="AO37" s="472"/>
    </row>
    <row r="38" spans="1:41" s="471" customFormat="1" ht="15" customHeight="1" thickBot="1">
      <c r="A38" s="471" t="s">
        <v>436</v>
      </c>
      <c r="C38" s="477"/>
      <c r="E38" s="478"/>
      <c r="F38" s="478"/>
      <c r="G38" s="478"/>
      <c r="H38" s="478"/>
      <c r="I38" s="478"/>
      <c r="J38" s="1771"/>
      <c r="K38" s="478"/>
      <c r="L38" s="478"/>
      <c r="M38" s="478"/>
      <c r="N38" s="478"/>
      <c r="P38" s="477"/>
      <c r="Q38" s="478"/>
      <c r="R38" s="477"/>
      <c r="S38" s="479"/>
      <c r="T38" s="478"/>
      <c r="V38" s="477"/>
      <c r="W38" s="479"/>
      <c r="X38" s="478"/>
      <c r="Z38" s="478"/>
      <c r="AC38" s="1771"/>
      <c r="AD38" s="1771"/>
      <c r="AE38" s="478"/>
      <c r="AF38" s="479"/>
      <c r="AG38" s="479"/>
      <c r="AH38" s="480"/>
      <c r="AI38" s="480"/>
      <c r="AJ38" s="480"/>
      <c r="AK38" s="480"/>
      <c r="AL38" s="480"/>
      <c r="AM38" s="480"/>
    </row>
    <row r="39" spans="1:41" ht="15" customHeight="1" thickBot="1">
      <c r="A39" s="2477" t="s">
        <v>0</v>
      </c>
      <c r="B39" s="2381" t="s">
        <v>1</v>
      </c>
      <c r="C39" s="2391"/>
      <c r="D39" s="2396" t="s">
        <v>19</v>
      </c>
      <c r="E39" s="2397"/>
      <c r="F39" s="2397"/>
      <c r="G39" s="2397"/>
      <c r="H39" s="2397"/>
      <c r="I39" s="2397"/>
      <c r="J39" s="2397"/>
      <c r="K39" s="2397"/>
      <c r="L39" s="2397"/>
      <c r="M39" s="2397"/>
      <c r="N39" s="2397"/>
      <c r="O39" s="2397"/>
      <c r="P39" s="2397"/>
      <c r="Q39" s="2397"/>
      <c r="R39" s="2397"/>
      <c r="S39" s="2397"/>
      <c r="T39" s="2397"/>
      <c r="U39" s="2397"/>
      <c r="V39" s="2397"/>
      <c r="W39" s="2397"/>
      <c r="X39" s="2481"/>
      <c r="Y39" s="2381" t="s">
        <v>2</v>
      </c>
      <c r="Z39" s="2382"/>
      <c r="AA39" s="2381" t="s">
        <v>3</v>
      </c>
      <c r="AB39" s="2382"/>
      <c r="AC39" s="2482" t="s">
        <v>4</v>
      </c>
      <c r="AD39" s="2483"/>
      <c r="AE39" s="2362" t="s">
        <v>20</v>
      </c>
      <c r="AF39" s="2474" t="s">
        <v>21</v>
      </c>
      <c r="AG39" s="2447" t="s">
        <v>22</v>
      </c>
      <c r="AH39" s="2448"/>
      <c r="AI39" s="2449"/>
      <c r="AJ39" s="2456" t="s">
        <v>23</v>
      </c>
      <c r="AK39" s="472"/>
      <c r="AL39" s="472"/>
      <c r="AM39" s="472"/>
      <c r="AN39" s="472"/>
      <c r="AO39" s="472"/>
    </row>
    <row r="40" spans="1:41" ht="15" customHeight="1" thickBot="1">
      <c r="A40" s="2478"/>
      <c r="B40" s="2383"/>
      <c r="C40" s="2393"/>
      <c r="D40" s="2396" t="s">
        <v>5</v>
      </c>
      <c r="E40" s="2397"/>
      <c r="F40" s="2397"/>
      <c r="G40" s="2397"/>
      <c r="H40" s="2397"/>
      <c r="I40" s="2397"/>
      <c r="J40" s="2397"/>
      <c r="K40" s="2397"/>
      <c r="L40" s="2398"/>
      <c r="M40" s="2459" t="s">
        <v>6</v>
      </c>
      <c r="N40" s="2460"/>
      <c r="O40" s="2460"/>
      <c r="P40" s="2460"/>
      <c r="Q40" s="2460"/>
      <c r="R40" s="2460"/>
      <c r="S40" s="2460"/>
      <c r="T40" s="2460"/>
      <c r="U40" s="2460"/>
      <c r="V40" s="2460"/>
      <c r="W40" s="2460"/>
      <c r="X40" s="2461"/>
      <c r="Y40" s="2383"/>
      <c r="Z40" s="2384"/>
      <c r="AA40" s="2383"/>
      <c r="AB40" s="2384"/>
      <c r="AC40" s="2462" t="s">
        <v>418</v>
      </c>
      <c r="AD40" s="2464" t="s">
        <v>419</v>
      </c>
      <c r="AE40" s="2363"/>
      <c r="AF40" s="2475"/>
      <c r="AG40" s="2466" t="s">
        <v>24</v>
      </c>
      <c r="AH40" s="2468" t="s">
        <v>25</v>
      </c>
      <c r="AI40" s="2469"/>
      <c r="AJ40" s="2457"/>
      <c r="AK40" s="472"/>
      <c r="AL40" s="472"/>
      <c r="AM40" s="472"/>
      <c r="AN40" s="472"/>
      <c r="AO40" s="472"/>
    </row>
    <row r="41" spans="1:41" ht="21" customHeight="1" thickBot="1">
      <c r="A41" s="2478"/>
      <c r="B41" s="2470"/>
      <c r="C41" s="2480"/>
      <c r="D41" s="2399" t="s">
        <v>26</v>
      </c>
      <c r="E41" s="2401"/>
      <c r="F41" s="2484" t="s">
        <v>7</v>
      </c>
      <c r="G41" s="2400"/>
      <c r="H41" s="2485" t="s">
        <v>433</v>
      </c>
      <c r="I41" s="2486"/>
      <c r="J41" s="2450" t="s">
        <v>27</v>
      </c>
      <c r="K41" s="2451"/>
      <c r="L41" s="668" t="s">
        <v>8</v>
      </c>
      <c r="M41" s="2406" t="s">
        <v>28</v>
      </c>
      <c r="N41" s="2407"/>
      <c r="O41" s="2408" t="s">
        <v>434</v>
      </c>
      <c r="P41" s="2409"/>
      <c r="Q41" s="2406" t="s">
        <v>29</v>
      </c>
      <c r="R41" s="2407"/>
      <c r="S41" s="2408" t="s">
        <v>30</v>
      </c>
      <c r="T41" s="2409"/>
      <c r="U41" s="2412" t="s">
        <v>9</v>
      </c>
      <c r="V41" s="2472"/>
      <c r="W41" s="2410" t="s">
        <v>31</v>
      </c>
      <c r="X41" s="2472"/>
      <c r="Y41" s="2470"/>
      <c r="Z41" s="2471"/>
      <c r="AA41" s="2470"/>
      <c r="AB41" s="2471"/>
      <c r="AC41" s="2463"/>
      <c r="AD41" s="2465"/>
      <c r="AE41" s="2473"/>
      <c r="AF41" s="2476"/>
      <c r="AG41" s="2467"/>
      <c r="AH41" s="669" t="s">
        <v>32</v>
      </c>
      <c r="AI41" s="670" t="s">
        <v>309</v>
      </c>
      <c r="AJ41" s="2458"/>
      <c r="AK41" s="472"/>
      <c r="AL41" s="472"/>
      <c r="AM41" s="472"/>
      <c r="AN41" s="472"/>
      <c r="AO41" s="472"/>
    </row>
    <row r="42" spans="1:41" ht="15" customHeight="1" thickBot="1">
      <c r="A42" s="2479"/>
      <c r="B42" s="899" t="s">
        <v>10</v>
      </c>
      <c r="C42" s="898" t="s">
        <v>11</v>
      </c>
      <c r="D42" s="671" t="s">
        <v>10</v>
      </c>
      <c r="E42" s="672" t="s">
        <v>11</v>
      </c>
      <c r="F42" s="673" t="s">
        <v>10</v>
      </c>
      <c r="G42" s="674" t="s">
        <v>33</v>
      </c>
      <c r="H42" s="675" t="s">
        <v>10</v>
      </c>
      <c r="I42" s="672" t="s">
        <v>33</v>
      </c>
      <c r="J42" s="2075" t="s">
        <v>10</v>
      </c>
      <c r="K42" s="674" t="s">
        <v>33</v>
      </c>
      <c r="L42" s="676" t="s">
        <v>33</v>
      </c>
      <c r="M42" s="677" t="s">
        <v>10</v>
      </c>
      <c r="N42" s="674" t="s">
        <v>11</v>
      </c>
      <c r="O42" s="671" t="s">
        <v>10</v>
      </c>
      <c r="P42" s="672" t="s">
        <v>11</v>
      </c>
      <c r="Q42" s="678" t="s">
        <v>10</v>
      </c>
      <c r="R42" s="679" t="s">
        <v>11</v>
      </c>
      <c r="S42" s="671" t="s">
        <v>10</v>
      </c>
      <c r="T42" s="680" t="s">
        <v>11</v>
      </c>
      <c r="U42" s="678" t="s">
        <v>10</v>
      </c>
      <c r="V42" s="674" t="s">
        <v>11</v>
      </c>
      <c r="W42" s="671" t="s">
        <v>10</v>
      </c>
      <c r="X42" s="674" t="s">
        <v>11</v>
      </c>
      <c r="Y42" s="899" t="s">
        <v>10</v>
      </c>
      <c r="Z42" s="681" t="s">
        <v>11</v>
      </c>
      <c r="AA42" s="682" t="s">
        <v>10</v>
      </c>
      <c r="AB42" s="681" t="s">
        <v>11</v>
      </c>
      <c r="AC42" s="1784"/>
      <c r="AD42" s="1785"/>
      <c r="AE42" s="683" t="s">
        <v>13</v>
      </c>
      <c r="AF42" s="684" t="s">
        <v>14</v>
      </c>
      <c r="AG42" s="685" t="s">
        <v>15</v>
      </c>
      <c r="AH42" s="686" t="s">
        <v>15</v>
      </c>
      <c r="AI42" s="687" t="s">
        <v>15</v>
      </c>
      <c r="AJ42" s="688" t="s">
        <v>314</v>
      </c>
      <c r="AK42" s="472"/>
      <c r="AL42" s="472"/>
      <c r="AM42" s="472"/>
      <c r="AN42" s="472"/>
      <c r="AO42" s="472"/>
    </row>
    <row r="43" spans="1:41" ht="15" customHeight="1">
      <c r="A43" s="689" t="s">
        <v>310</v>
      </c>
      <c r="B43" s="502">
        <f>'[1]св-во Шув-2'!B43</f>
        <v>5419</v>
      </c>
      <c r="C43" s="697">
        <f>'[1]св-во Шув-2'!C43</f>
        <v>211.36500000000001</v>
      </c>
      <c r="D43" s="502"/>
      <c r="E43" s="697"/>
      <c r="F43" s="502"/>
      <c r="G43" s="697"/>
      <c r="H43" s="502">
        <f>'[1]св-во Шув-2'!H43+'[2]св-во Шув-2'!H43</f>
        <v>27402</v>
      </c>
      <c r="I43" s="1817">
        <f>'[1]св-во Шув-2'!I43+'[2]св-во Шув-2'!I43</f>
        <v>1069.489</v>
      </c>
      <c r="J43" s="1256"/>
      <c r="K43" s="697"/>
      <c r="L43" s="1248">
        <f>'[1]св-во Шув-2'!L43+'[2]св-во Шув-2'!L43</f>
        <v>1571.0996799999998</v>
      </c>
      <c r="M43" s="502"/>
      <c r="N43" s="697"/>
      <c r="O43" s="502"/>
      <c r="P43" s="697"/>
      <c r="Q43" s="502">
        <f>'[1]св-во Шув-2'!Q43+'[2]св-во Шув-2'!Q43</f>
        <v>19762</v>
      </c>
      <c r="R43" s="1817">
        <f>'[1]св-во Шув-2'!R43+'[2]св-во Шув-2'!R43</f>
        <v>2078.6369999999997</v>
      </c>
      <c r="S43" s="502">
        <f>'[1]св-во Шув-2'!S43+'[2]св-во Шув-2'!S43</f>
        <v>3960</v>
      </c>
      <c r="T43" s="1817">
        <f>'[1]св-во Шув-2'!T43+'[2]св-во Шув-2'!T43</f>
        <v>415.8</v>
      </c>
      <c r="U43" s="502">
        <f>'[1]св-во Шув-2'!U43+'[2]св-во Шув-2'!U43</f>
        <v>276.08000000000004</v>
      </c>
      <c r="V43" s="1817">
        <f>'[1]св-во Шув-2'!V43+'[2]св-во Шув-2'!V43</f>
        <v>13.242290000000001</v>
      </c>
      <c r="W43" s="502">
        <f>'[1]св-во Шув-2'!W43+'[2]св-во Шув-2'!W43</f>
        <v>271.07000000000005</v>
      </c>
      <c r="X43" s="1817">
        <f>'[1]св-во Шув-2'!X43+'[2]св-во Шув-2'!X43</f>
        <v>9.0642399999999999</v>
      </c>
      <c r="Y43" s="502">
        <f>B43+D43+H43+F43+J43-M43-O43-Q43-S43-U43-W43</f>
        <v>8551.85</v>
      </c>
      <c r="Z43" s="503">
        <f>C43+E43+G43+I43+K43+L43-N43-P43-R43-T43-V43-X43</f>
        <v>335.21014999999989</v>
      </c>
      <c r="AA43" s="500">
        <f>AD43/90</f>
        <v>23602.572611111114</v>
      </c>
      <c r="AB43" s="501">
        <f>(Z43+C43)/(Y43+B43)*AA43</f>
        <v>923.39261142335272</v>
      </c>
      <c r="AC43" s="1256">
        <f>'[1]св-во Шув-2'!AC43+'[2]св-во Шув-2'!AC43</f>
        <v>1917215.2682926829</v>
      </c>
      <c r="AD43" s="1768">
        <f>'[1]св-во Шув-2'!AD43+'[2]св-во Шув-2'!AD43</f>
        <v>2124231.5350000001</v>
      </c>
      <c r="AE43" s="504">
        <f>L43*1000000/AC43</f>
        <v>819.4696265897644</v>
      </c>
      <c r="AF43" s="505">
        <v>2.2999999999999998</v>
      </c>
      <c r="AG43" s="506">
        <f>AH43+AI43</f>
        <v>4885.7325305000004</v>
      </c>
      <c r="AH43" s="507">
        <f>AD43*AF43/1000</f>
        <v>4885.7325305000004</v>
      </c>
      <c r="AI43" s="508"/>
      <c r="AJ43" s="509"/>
      <c r="AK43" s="472"/>
      <c r="AL43" s="472"/>
      <c r="AM43" s="472"/>
      <c r="AN43" s="472"/>
      <c r="AO43" s="472"/>
    </row>
    <row r="44" spans="1:41" ht="15" customHeight="1" outlineLevel="1">
      <c r="A44" s="510" t="s">
        <v>16</v>
      </c>
      <c r="B44" s="2154">
        <v>5419</v>
      </c>
      <c r="C44" s="2155">
        <v>211.36500000000001</v>
      </c>
      <c r="D44" s="730"/>
      <c r="E44" s="731"/>
      <c r="F44" s="730"/>
      <c r="G44" s="731"/>
      <c r="H44" s="2154">
        <f>O29</f>
        <v>26258</v>
      </c>
      <c r="I44" s="2155">
        <f>P29</f>
        <v>1023.769</v>
      </c>
      <c r="J44" s="1776"/>
      <c r="K44" s="2162"/>
      <c r="L44" s="2163">
        <v>1676.942</v>
      </c>
      <c r="M44" s="2154">
        <v>72</v>
      </c>
      <c r="N44" s="2155">
        <v>7.4489999999999998</v>
      </c>
      <c r="O44" s="730"/>
      <c r="P44" s="731"/>
      <c r="Q44" s="2158">
        <f>19445-W44</f>
        <v>19282</v>
      </c>
      <c r="R44" s="2157">
        <f>2027.436-X44</f>
        <v>2019.2289999999998</v>
      </c>
      <c r="S44" s="2158">
        <v>5685</v>
      </c>
      <c r="T44" s="2157">
        <v>615.53399999999999</v>
      </c>
      <c r="U44" s="2158">
        <v>349</v>
      </c>
      <c r="V44" s="2157">
        <v>22.07</v>
      </c>
      <c r="W44" s="2158">
        <v>163</v>
      </c>
      <c r="X44" s="2157">
        <v>8.2070000000000007</v>
      </c>
      <c r="Y44" s="513">
        <f>B44+D44+H44+F44+J44-M44-O44-Q44-S44-U44-W44</f>
        <v>6126</v>
      </c>
      <c r="Z44" s="514">
        <f>C44+E44+G44+I44+K44+L44-N44-P44-R44-T44-V44-X44</f>
        <v>239.58700000000016</v>
      </c>
      <c r="AA44" s="511">
        <f>AD44/90</f>
        <v>23088.244444444445</v>
      </c>
      <c r="AB44" s="512">
        <f>(Z44+C44)/(Y44+B44)*AA44</f>
        <v>901.83542734613388</v>
      </c>
      <c r="AC44" s="2161">
        <v>2012253</v>
      </c>
      <c r="AD44" s="2160">
        <v>2077942</v>
      </c>
      <c r="AE44" s="515">
        <f>L44*1000000/AC44</f>
        <v>833.36538695680906</v>
      </c>
      <c r="AF44" s="1789">
        <f>AG44/AD44*1000</f>
        <v>2.5605015850298036</v>
      </c>
      <c r="AG44" s="516">
        <f>SUM(AH44:AI44)</f>
        <v>5320.5737846000002</v>
      </c>
      <c r="AH44" s="517">
        <f>X114</f>
        <v>5297.2359999999999</v>
      </c>
      <c r="AI44" s="517">
        <f>L87</f>
        <v>23.337784599999999</v>
      </c>
      <c r="AJ44" s="519">
        <f>E154</f>
        <v>0</v>
      </c>
      <c r="AK44" s="472"/>
      <c r="AL44" s="472"/>
      <c r="AM44" s="472"/>
      <c r="AN44" s="472"/>
      <c r="AO44" s="472"/>
    </row>
    <row r="45" spans="1:41" ht="15" customHeight="1" outlineLevel="1" thickBot="1">
      <c r="A45" s="690" t="s">
        <v>17</v>
      </c>
      <c r="B45" s="637">
        <f t="shared" ref="B45:AG45" si="18">B44-B43</f>
        <v>0</v>
      </c>
      <c r="C45" s="642">
        <f t="shared" si="18"/>
        <v>0</v>
      </c>
      <c r="D45" s="637">
        <f t="shared" si="18"/>
        <v>0</v>
      </c>
      <c r="E45" s="640">
        <f t="shared" si="18"/>
        <v>0</v>
      </c>
      <c r="F45" s="639">
        <f t="shared" si="18"/>
        <v>0</v>
      </c>
      <c r="G45" s="641">
        <f t="shared" si="18"/>
        <v>0</v>
      </c>
      <c r="H45" s="637">
        <f t="shared" si="18"/>
        <v>-1144</v>
      </c>
      <c r="I45" s="640">
        <f t="shared" si="18"/>
        <v>-45.720000000000027</v>
      </c>
      <c r="J45" s="2076">
        <f t="shared" si="18"/>
        <v>0</v>
      </c>
      <c r="K45" s="642">
        <f t="shared" si="18"/>
        <v>0</v>
      </c>
      <c r="L45" s="663">
        <f t="shared" si="18"/>
        <v>105.8423200000002</v>
      </c>
      <c r="M45" s="639">
        <f t="shared" si="18"/>
        <v>72</v>
      </c>
      <c r="N45" s="642">
        <f t="shared" si="18"/>
        <v>7.4489999999999998</v>
      </c>
      <c r="O45" s="637">
        <f t="shared" si="18"/>
        <v>0</v>
      </c>
      <c r="P45" s="638">
        <f t="shared" si="18"/>
        <v>0</v>
      </c>
      <c r="Q45" s="639">
        <f t="shared" si="18"/>
        <v>-480</v>
      </c>
      <c r="R45" s="642">
        <f t="shared" si="18"/>
        <v>-59.407999999999902</v>
      </c>
      <c r="S45" s="637">
        <f t="shared" si="18"/>
        <v>1725</v>
      </c>
      <c r="T45" s="638">
        <f t="shared" si="18"/>
        <v>199.73399999999998</v>
      </c>
      <c r="U45" s="2164">
        <f t="shared" si="18"/>
        <v>72.919999999999959</v>
      </c>
      <c r="V45" s="642">
        <f t="shared" si="18"/>
        <v>8.8277099999999997</v>
      </c>
      <c r="W45" s="637">
        <f t="shared" si="18"/>
        <v>-108.07000000000005</v>
      </c>
      <c r="X45" s="638">
        <f t="shared" si="18"/>
        <v>-0.85723999999999911</v>
      </c>
      <c r="Y45" s="645">
        <f t="shared" si="18"/>
        <v>-2425.8500000000004</v>
      </c>
      <c r="Z45" s="646">
        <f t="shared" si="18"/>
        <v>-95.623149999999725</v>
      </c>
      <c r="AA45" s="643">
        <f t="shared" si="18"/>
        <v>-514.32816666666986</v>
      </c>
      <c r="AB45" s="644">
        <f t="shared" si="18"/>
        <v>-21.557184077218835</v>
      </c>
      <c r="AC45" s="1774">
        <f t="shared" si="18"/>
        <v>95037.731707317056</v>
      </c>
      <c r="AD45" s="1775">
        <f t="shared" si="18"/>
        <v>-46289.535000000149</v>
      </c>
      <c r="AE45" s="691">
        <f t="shared" si="18"/>
        <v>13.895760367044659</v>
      </c>
      <c r="AF45" s="692">
        <f t="shared" si="18"/>
        <v>0.26050158502980381</v>
      </c>
      <c r="AG45" s="649">
        <f t="shared" si="18"/>
        <v>434.84125409999979</v>
      </c>
      <c r="AH45" s="650">
        <f>AG45-AI45</f>
        <v>411.50346949999977</v>
      </c>
      <c r="AI45" s="651">
        <f>AI44-AI43</f>
        <v>23.337784599999999</v>
      </c>
      <c r="AJ45" s="652">
        <f>AJ44-AJ43</f>
        <v>0</v>
      </c>
      <c r="AK45" s="472"/>
      <c r="AL45" s="472"/>
      <c r="AM45" s="472"/>
      <c r="AN45" s="472"/>
      <c r="AO45" s="472"/>
    </row>
    <row r="46" spans="1:41" ht="41.25" customHeight="1"/>
    <row r="47" spans="1:41" s="476" customFormat="1" ht="18" customHeight="1">
      <c r="A47" s="476" t="s">
        <v>313</v>
      </c>
      <c r="C47" s="473"/>
      <c r="J47" s="1770"/>
      <c r="R47" s="473"/>
      <c r="T47" s="473"/>
      <c r="AA47" s="476" t="s">
        <v>42</v>
      </c>
      <c r="AB47" s="476" t="s">
        <v>43</v>
      </c>
      <c r="AC47" s="1770"/>
      <c r="AD47" s="1770"/>
    </row>
    <row r="48" spans="1:41" s="534" customFormat="1" ht="10.5" customHeight="1">
      <c r="A48" s="533"/>
      <c r="B48" s="2424" t="s">
        <v>277</v>
      </c>
      <c r="C48" s="2425"/>
      <c r="D48" s="2375" t="s">
        <v>317</v>
      </c>
      <c r="E48" s="2376"/>
      <c r="F48" s="2376"/>
      <c r="G48" s="2376"/>
      <c r="H48" s="2376"/>
      <c r="I48" s="2376"/>
      <c r="J48" s="2376"/>
      <c r="K48" s="2376"/>
      <c r="L48" s="2440"/>
      <c r="M48" s="2375" t="s">
        <v>316</v>
      </c>
      <c r="N48" s="2376"/>
      <c r="O48" s="2440"/>
      <c r="P48" s="742" t="s">
        <v>278</v>
      </c>
      <c r="Q48" s="740" t="s">
        <v>279</v>
      </c>
      <c r="R48" s="740" t="s">
        <v>280</v>
      </c>
      <c r="S48" s="740" t="s">
        <v>281</v>
      </c>
      <c r="Y48" s="1642" t="s">
        <v>648</v>
      </c>
      <c r="Z48" s="1643" t="s">
        <v>10</v>
      </c>
      <c r="AA48" s="2165">
        <v>3131</v>
      </c>
      <c r="AB48" s="2165">
        <v>3100</v>
      </c>
      <c r="AC48" s="1786"/>
      <c r="AD48" s="1786"/>
    </row>
    <row r="49" spans="1:41" ht="10.5" customHeight="1">
      <c r="A49" s="535"/>
      <c r="B49" s="2426"/>
      <c r="C49" s="2427"/>
      <c r="D49" s="536" t="s">
        <v>282</v>
      </c>
      <c r="E49" s="536" t="s">
        <v>283</v>
      </c>
      <c r="F49" s="536" t="s">
        <v>432</v>
      </c>
      <c r="G49" s="536" t="s">
        <v>284</v>
      </c>
      <c r="H49" s="536" t="s">
        <v>285</v>
      </c>
      <c r="I49" s="536" t="s">
        <v>286</v>
      </c>
      <c r="J49" s="2077" t="s">
        <v>287</v>
      </c>
      <c r="K49" s="537" t="s">
        <v>601</v>
      </c>
      <c r="L49" s="537" t="s">
        <v>682</v>
      </c>
      <c r="M49" s="538" t="s">
        <v>324</v>
      </c>
      <c r="N49" s="539" t="s">
        <v>325</v>
      </c>
      <c r="O49" s="540" t="s">
        <v>326</v>
      </c>
      <c r="P49" s="743"/>
      <c r="Q49" s="741"/>
      <c r="R49" s="741"/>
      <c r="S49" s="741"/>
      <c r="T49" s="476"/>
      <c r="U49" s="476"/>
      <c r="V49" s="476"/>
      <c r="W49" s="476"/>
      <c r="X49" s="472"/>
      <c r="Y49" s="1642" t="s">
        <v>649</v>
      </c>
      <c r="Z49" s="1643" t="s">
        <v>10</v>
      </c>
      <c r="AA49" s="2165">
        <v>2713</v>
      </c>
      <c r="AB49" s="2165">
        <v>2639</v>
      </c>
      <c r="AE49" s="472"/>
      <c r="AF49" s="472"/>
      <c r="AG49" s="472"/>
      <c r="AH49" s="472"/>
      <c r="AI49" s="472"/>
      <c r="AJ49" s="472"/>
      <c r="AK49" s="472"/>
      <c r="AL49" s="472"/>
      <c r="AM49" s="472"/>
      <c r="AN49" s="472"/>
      <c r="AO49" s="472"/>
    </row>
    <row r="50" spans="1:41" ht="10.5" customHeight="1">
      <c r="A50" s="535" t="s">
        <v>290</v>
      </c>
      <c r="B50" s="2435">
        <f>AG7</f>
        <v>9.8966999999999992</v>
      </c>
      <c r="C50" s="2436"/>
      <c r="D50" s="600"/>
      <c r="E50" s="608">
        <f>AH7</f>
        <v>9.8966999999999992</v>
      </c>
      <c r="F50" s="600"/>
      <c r="G50" s="600"/>
      <c r="H50" s="600"/>
      <c r="I50" s="600"/>
      <c r="J50" s="2078"/>
      <c r="K50" s="601">
        <f>SUM(D50:J50)</f>
        <v>9.8966999999999992</v>
      </c>
      <c r="L50" s="600"/>
      <c r="M50" s="608"/>
      <c r="N50" s="602"/>
      <c r="O50" s="600"/>
      <c r="P50" s="603">
        <f>D100</f>
        <v>44.494999999999997</v>
      </c>
      <c r="Q50" s="603">
        <f>E98</f>
        <v>63.72</v>
      </c>
      <c r="R50" s="604"/>
      <c r="S50" s="605">
        <f>Q50/P50*10</f>
        <v>14.320710192156422</v>
      </c>
      <c r="T50" s="476"/>
      <c r="U50" s="476"/>
      <c r="V50" s="476"/>
      <c r="W50" s="476"/>
      <c r="X50" s="472"/>
      <c r="Y50" s="472"/>
      <c r="Z50" s="472"/>
      <c r="AB50" s="472"/>
      <c r="AE50" s="472"/>
      <c r="AF50" s="472"/>
      <c r="AG50" s="472"/>
      <c r="AH50" s="472"/>
      <c r="AI50" s="472"/>
      <c r="AJ50" s="472"/>
      <c r="AK50" s="472"/>
      <c r="AL50" s="472"/>
      <c r="AM50" s="472"/>
      <c r="AN50" s="472"/>
      <c r="AO50" s="472"/>
    </row>
    <row r="51" spans="1:41" ht="10.5" customHeight="1" outlineLevel="1">
      <c r="A51" s="543" t="s">
        <v>16</v>
      </c>
      <c r="B51" s="2435">
        <f>K51+L51</f>
        <v>11.394</v>
      </c>
      <c r="C51" s="2436"/>
      <c r="D51" s="2166">
        <v>1.0980000000000001</v>
      </c>
      <c r="E51" s="2167">
        <v>10.295999999999999</v>
      </c>
      <c r="F51" s="607"/>
      <c r="G51" s="606"/>
      <c r="H51" s="607"/>
      <c r="I51" s="595"/>
      <c r="J51" s="2079"/>
      <c r="K51" s="601">
        <f>SUM(D51:J51)</f>
        <v>11.394</v>
      </c>
      <c r="L51" s="595"/>
      <c r="M51" s="608"/>
      <c r="N51" s="609"/>
      <c r="O51" s="1790">
        <v>8.6099999999999996E-2</v>
      </c>
      <c r="P51" s="603">
        <f>D121</f>
        <v>31.777000000000001</v>
      </c>
      <c r="Q51" s="603">
        <f>E120</f>
        <v>232.54773</v>
      </c>
      <c r="R51" s="608"/>
      <c r="S51" s="605">
        <f>Q51/P51*10</f>
        <v>73.181146741353814</v>
      </c>
      <c r="T51" s="472"/>
      <c r="U51" s="472"/>
      <c r="V51" s="472"/>
      <c r="X51" s="472"/>
      <c r="Y51" s="472"/>
      <c r="Z51" s="472"/>
      <c r="AB51" s="472"/>
      <c r="AE51" s="472"/>
      <c r="AF51" s="472"/>
      <c r="AG51" s="472"/>
      <c r="AH51" s="472"/>
      <c r="AI51" s="472"/>
      <c r="AJ51" s="472"/>
      <c r="AK51" s="472"/>
      <c r="AL51" s="472"/>
      <c r="AM51" s="472"/>
      <c r="AN51" s="472"/>
      <c r="AO51" s="472"/>
    </row>
    <row r="52" spans="1:41" ht="10.5" customHeight="1" outlineLevel="1">
      <c r="A52" s="543" t="s">
        <v>17</v>
      </c>
      <c r="B52" s="2435">
        <f>B51-B50</f>
        <v>1.497300000000001</v>
      </c>
      <c r="C52" s="2436"/>
      <c r="D52" s="702">
        <f t="shared" ref="D52:S52" si="19">D51-D50</f>
        <v>1.0980000000000001</v>
      </c>
      <c r="E52" s="702">
        <f t="shared" si="19"/>
        <v>0.39930000000000021</v>
      </c>
      <c r="F52" s="702">
        <f t="shared" si="19"/>
        <v>0</v>
      </c>
      <c r="G52" s="702">
        <f t="shared" si="19"/>
        <v>0</v>
      </c>
      <c r="H52" s="702">
        <f t="shared" si="19"/>
        <v>0</v>
      </c>
      <c r="I52" s="702">
        <f t="shared" si="19"/>
        <v>0</v>
      </c>
      <c r="J52" s="2080">
        <f t="shared" si="19"/>
        <v>0</v>
      </c>
      <c r="K52" s="702">
        <f t="shared" si="19"/>
        <v>1.497300000000001</v>
      </c>
      <c r="L52" s="702">
        <f t="shared" si="19"/>
        <v>0</v>
      </c>
      <c r="M52" s="702">
        <f t="shared" si="19"/>
        <v>0</v>
      </c>
      <c r="N52" s="702">
        <f t="shared" si="19"/>
        <v>0</v>
      </c>
      <c r="O52" s="702">
        <f t="shared" si="19"/>
        <v>8.6099999999999996E-2</v>
      </c>
      <c r="P52" s="702">
        <f t="shared" si="19"/>
        <v>-12.717999999999996</v>
      </c>
      <c r="Q52" s="702">
        <f t="shared" si="19"/>
        <v>168.82773</v>
      </c>
      <c r="R52" s="702">
        <f t="shared" si="19"/>
        <v>0</v>
      </c>
      <c r="S52" s="702">
        <f t="shared" si="19"/>
        <v>58.860436549197388</v>
      </c>
      <c r="T52" s="472"/>
      <c r="U52" s="472"/>
      <c r="V52" s="472"/>
      <c r="X52" s="472"/>
      <c r="Y52" s="472"/>
      <c r="Z52" s="472"/>
      <c r="AB52" s="472"/>
      <c r="AE52" s="472"/>
      <c r="AF52" s="472"/>
      <c r="AG52" s="472"/>
      <c r="AH52" s="472"/>
      <c r="AI52" s="472"/>
      <c r="AJ52" s="472"/>
      <c r="AK52" s="472"/>
      <c r="AL52" s="472"/>
      <c r="AM52" s="472"/>
      <c r="AN52" s="472"/>
      <c r="AO52" s="472"/>
    </row>
    <row r="53" spans="1:41" ht="10.5" customHeight="1">
      <c r="A53" s="535" t="s">
        <v>519</v>
      </c>
      <c r="B53" s="2435">
        <f>AG10</f>
        <v>7.8360000000000003</v>
      </c>
      <c r="C53" s="2436"/>
      <c r="D53" s="600"/>
      <c r="E53" s="608">
        <f>AG10</f>
        <v>7.8360000000000003</v>
      </c>
      <c r="F53" s="600"/>
      <c r="G53" s="600"/>
      <c r="H53" s="600"/>
      <c r="I53" s="600"/>
      <c r="J53" s="2078"/>
      <c r="K53" s="601">
        <f t="shared" ref="K53:K54" si="20">SUM(D53:J53)</f>
        <v>7.8360000000000003</v>
      </c>
      <c r="L53" s="600"/>
      <c r="M53" s="602"/>
      <c r="N53" s="602"/>
      <c r="O53" s="600"/>
      <c r="P53" s="603">
        <f>E53*R86*10</f>
        <v>83.845200000000006</v>
      </c>
      <c r="Q53" s="603">
        <f>E53*C86/1000</f>
        <v>175.5264</v>
      </c>
      <c r="R53" s="605" t="e">
        <f>P53/(L10-V10)/10</f>
        <v>#DIV/0!</v>
      </c>
      <c r="S53" s="605">
        <f>Q53/P53*10</f>
        <v>20.934579439252335</v>
      </c>
      <c r="T53" s="476"/>
      <c r="U53" s="476"/>
      <c r="V53" s="476"/>
      <c r="W53" s="476"/>
      <c r="X53" s="472"/>
      <c r="Y53" s="472"/>
      <c r="Z53" s="472"/>
      <c r="AB53" s="472"/>
      <c r="AE53" s="472"/>
      <c r="AF53" s="472"/>
      <c r="AG53" s="472"/>
      <c r="AH53" s="472"/>
      <c r="AI53" s="472"/>
      <c r="AJ53" s="472"/>
      <c r="AK53" s="472"/>
      <c r="AL53" s="472"/>
      <c r="AM53" s="472"/>
      <c r="AN53" s="472"/>
      <c r="AO53" s="472"/>
    </row>
    <row r="54" spans="1:41" ht="10.5" customHeight="1" outlineLevel="1">
      <c r="A54" s="543" t="s">
        <v>16</v>
      </c>
      <c r="B54" s="2435">
        <f>K54+L54</f>
        <v>6.1950000000000003</v>
      </c>
      <c r="C54" s="2436"/>
      <c r="D54" s="606"/>
      <c r="E54" s="2167">
        <v>6.1950000000000003</v>
      </c>
      <c r="F54" s="607"/>
      <c r="G54" s="606"/>
      <c r="H54" s="607"/>
      <c r="I54" s="595"/>
      <c r="J54" s="2079"/>
      <c r="K54" s="601">
        <f t="shared" si="20"/>
        <v>6.1950000000000003</v>
      </c>
      <c r="L54" s="595"/>
      <c r="M54" s="595"/>
      <c r="N54" s="609"/>
      <c r="O54" s="1790">
        <v>3.6900000000000002E-2</v>
      </c>
      <c r="P54" s="603">
        <f>E54*R86*10</f>
        <v>66.286500000000004</v>
      </c>
      <c r="Q54" s="603">
        <f>E54*C108/1000</f>
        <v>128.07577953571172</v>
      </c>
      <c r="R54" s="608"/>
      <c r="S54" s="605">
        <f>Q54/P54*10</f>
        <v>19.321548058158406</v>
      </c>
      <c r="T54" s="472"/>
      <c r="U54" s="472"/>
      <c r="V54" s="472"/>
      <c r="X54" s="472"/>
      <c r="Y54" s="472"/>
      <c r="Z54" s="472"/>
      <c r="AB54" s="472"/>
      <c r="AE54" s="472"/>
      <c r="AF54" s="472"/>
      <c r="AG54" s="472"/>
      <c r="AH54" s="472"/>
      <c r="AI54" s="472"/>
      <c r="AJ54" s="472"/>
      <c r="AK54" s="472"/>
      <c r="AL54" s="472"/>
      <c r="AM54" s="472"/>
      <c r="AN54" s="472"/>
      <c r="AO54" s="472"/>
    </row>
    <row r="55" spans="1:41" ht="10.5" customHeight="1" outlineLevel="1">
      <c r="A55" s="543" t="s">
        <v>17</v>
      </c>
      <c r="B55" s="2435">
        <f>B54-B53</f>
        <v>-1.641</v>
      </c>
      <c r="C55" s="2436"/>
      <c r="D55" s="702">
        <f t="shared" ref="D55:S55" si="21">D54-D53</f>
        <v>0</v>
      </c>
      <c r="E55" s="702">
        <f t="shared" si="21"/>
        <v>-1.641</v>
      </c>
      <c r="F55" s="702">
        <f t="shared" si="21"/>
        <v>0</v>
      </c>
      <c r="G55" s="702">
        <f t="shared" si="21"/>
        <v>0</v>
      </c>
      <c r="H55" s="702">
        <f t="shared" si="21"/>
        <v>0</v>
      </c>
      <c r="I55" s="702">
        <f t="shared" si="21"/>
        <v>0</v>
      </c>
      <c r="J55" s="2080">
        <f t="shared" si="21"/>
        <v>0</v>
      </c>
      <c r="K55" s="702">
        <f t="shared" si="21"/>
        <v>-1.641</v>
      </c>
      <c r="L55" s="702">
        <f t="shared" si="21"/>
        <v>0</v>
      </c>
      <c r="M55" s="702">
        <f t="shared" si="21"/>
        <v>0</v>
      </c>
      <c r="N55" s="702">
        <f t="shared" si="21"/>
        <v>0</v>
      </c>
      <c r="O55" s="702">
        <f t="shared" si="21"/>
        <v>3.6900000000000002E-2</v>
      </c>
      <c r="P55" s="702">
        <f t="shared" si="21"/>
        <v>-17.558700000000002</v>
      </c>
      <c r="Q55" s="702">
        <f t="shared" si="21"/>
        <v>-47.450620464288278</v>
      </c>
      <c r="R55" s="702" t="e">
        <f t="shared" si="21"/>
        <v>#DIV/0!</v>
      </c>
      <c r="S55" s="702">
        <f t="shared" si="21"/>
        <v>-1.6130313810939292</v>
      </c>
      <c r="T55" s="472"/>
      <c r="U55" s="472"/>
      <c r="V55" s="472"/>
      <c r="X55" s="472"/>
      <c r="Y55" s="472"/>
      <c r="Z55" s="472"/>
      <c r="AB55" s="472"/>
      <c r="AE55" s="472"/>
      <c r="AF55" s="472"/>
      <c r="AG55" s="472"/>
      <c r="AH55" s="472"/>
      <c r="AI55" s="472"/>
      <c r="AJ55" s="472"/>
      <c r="AK55" s="472"/>
      <c r="AL55" s="472"/>
      <c r="AM55" s="472"/>
      <c r="AN55" s="472"/>
      <c r="AO55" s="472"/>
    </row>
    <row r="56" spans="1:41" ht="10.5" customHeight="1">
      <c r="A56" s="535" t="s">
        <v>291</v>
      </c>
      <c r="B56" s="2435">
        <f>AG13</f>
        <v>1071.4588499999998</v>
      </c>
      <c r="C56" s="2436"/>
      <c r="D56" s="607">
        <f>B56*68%</f>
        <v>728.59201799999994</v>
      </c>
      <c r="E56" s="607">
        <f>B56-D56</f>
        <v>342.86683199999982</v>
      </c>
      <c r="F56" s="610"/>
      <c r="G56" s="600"/>
      <c r="H56" s="600"/>
      <c r="I56" s="600"/>
      <c r="J56" s="2078"/>
      <c r="K56" s="601">
        <f t="shared" ref="K56:K57" si="22">SUM(D56:J56)</f>
        <v>1071.4588499999998</v>
      </c>
      <c r="L56" s="600"/>
      <c r="M56" s="600"/>
      <c r="N56" s="602"/>
      <c r="O56" s="600"/>
      <c r="P56" s="603">
        <f>F100</f>
        <v>3228.4960000000001</v>
      </c>
      <c r="Q56" s="603">
        <f>G98</f>
        <v>3931.42</v>
      </c>
      <c r="R56" s="604"/>
      <c r="S56" s="605">
        <f>Q56/P56*10</f>
        <v>12.177249096793057</v>
      </c>
      <c r="T56" s="472"/>
      <c r="U56" s="472"/>
      <c r="V56" s="472"/>
      <c r="X56" s="472"/>
      <c r="Y56" s="472"/>
      <c r="Z56" s="472"/>
      <c r="AB56" s="472"/>
      <c r="AE56" s="472"/>
      <c r="AF56" s="472"/>
      <c r="AG56" s="472"/>
      <c r="AH56" s="472"/>
      <c r="AI56" s="472"/>
      <c r="AJ56" s="472"/>
      <c r="AK56" s="472"/>
      <c r="AL56" s="472"/>
      <c r="AM56" s="472"/>
      <c r="AN56" s="472"/>
      <c r="AO56" s="472"/>
    </row>
    <row r="57" spans="1:41" ht="10.5" customHeight="1" outlineLevel="1">
      <c r="A57" s="543" t="s">
        <v>16</v>
      </c>
      <c r="B57" s="2435">
        <f>K57+L57</f>
        <v>1067.2849999999999</v>
      </c>
      <c r="C57" s="2436"/>
      <c r="D57" s="2167">
        <v>657.26700000000005</v>
      </c>
      <c r="E57" s="2167">
        <v>409.84199999999998</v>
      </c>
      <c r="F57" s="607"/>
      <c r="G57" s="606"/>
      <c r="H57" s="607"/>
      <c r="I57" s="595"/>
      <c r="J57" s="2079"/>
      <c r="K57" s="601">
        <f t="shared" si="22"/>
        <v>1067.1089999999999</v>
      </c>
      <c r="L57" s="1790">
        <v>0.17599999999999999</v>
      </c>
      <c r="M57" s="595"/>
      <c r="N57" s="609"/>
      <c r="O57" s="595"/>
      <c r="P57" s="603">
        <f>F121</f>
        <v>3311.029</v>
      </c>
      <c r="Q57" s="603">
        <f>G120</f>
        <v>18599.825430000001</v>
      </c>
      <c r="R57" s="608"/>
      <c r="S57" s="605">
        <f>Q57/P57*10</f>
        <v>56.175362493049747</v>
      </c>
      <c r="T57" s="472"/>
      <c r="U57" s="472"/>
      <c r="V57" s="472"/>
      <c r="X57" s="472"/>
      <c r="Y57" s="472"/>
      <c r="Z57" s="472"/>
      <c r="AB57" s="472"/>
      <c r="AE57" s="472"/>
      <c r="AF57" s="472"/>
      <c r="AG57" s="472"/>
      <c r="AH57" s="472"/>
      <c r="AI57" s="472"/>
      <c r="AJ57" s="472"/>
      <c r="AK57" s="472"/>
      <c r="AL57" s="472"/>
      <c r="AM57" s="472"/>
      <c r="AN57" s="472"/>
      <c r="AO57" s="472"/>
    </row>
    <row r="58" spans="1:41" ht="10.5" customHeight="1" outlineLevel="1">
      <c r="A58" s="543" t="s">
        <v>17</v>
      </c>
      <c r="B58" s="2435">
        <f>B57-B56</f>
        <v>-4.1738499999999021</v>
      </c>
      <c r="C58" s="2436"/>
      <c r="D58" s="702">
        <f t="shared" ref="D58:S58" si="23">D57-D56</f>
        <v>-71.325017999999886</v>
      </c>
      <c r="E58" s="702">
        <f t="shared" si="23"/>
        <v>66.975168000000167</v>
      </c>
      <c r="F58" s="702">
        <f t="shared" si="23"/>
        <v>0</v>
      </c>
      <c r="G58" s="702">
        <f t="shared" si="23"/>
        <v>0</v>
      </c>
      <c r="H58" s="702">
        <f t="shared" si="23"/>
        <v>0</v>
      </c>
      <c r="I58" s="702">
        <f t="shared" si="23"/>
        <v>0</v>
      </c>
      <c r="J58" s="2080">
        <f t="shared" si="23"/>
        <v>0</v>
      </c>
      <c r="K58" s="702">
        <f t="shared" si="23"/>
        <v>-4.349849999999833</v>
      </c>
      <c r="L58" s="702">
        <f t="shared" si="23"/>
        <v>0.17599999999999999</v>
      </c>
      <c r="M58" s="702">
        <f t="shared" si="23"/>
        <v>0</v>
      </c>
      <c r="N58" s="702">
        <f t="shared" si="23"/>
        <v>0</v>
      </c>
      <c r="O58" s="702">
        <f t="shared" si="23"/>
        <v>0</v>
      </c>
      <c r="P58" s="702">
        <f t="shared" si="23"/>
        <v>82.532999999999902</v>
      </c>
      <c r="Q58" s="702">
        <f t="shared" si="23"/>
        <v>14668.405430000001</v>
      </c>
      <c r="R58" s="702">
        <f t="shared" si="23"/>
        <v>0</v>
      </c>
      <c r="S58" s="702">
        <f t="shared" si="23"/>
        <v>43.998113396256691</v>
      </c>
      <c r="T58" s="472"/>
      <c r="U58" s="472"/>
      <c r="V58" s="472"/>
      <c r="X58" s="472"/>
      <c r="Y58" s="472"/>
      <c r="Z58" s="472"/>
      <c r="AB58" s="472"/>
      <c r="AE58" s="472"/>
      <c r="AF58" s="472"/>
      <c r="AG58" s="472"/>
      <c r="AH58" s="472"/>
      <c r="AI58" s="472"/>
      <c r="AJ58" s="472"/>
      <c r="AK58" s="472"/>
      <c r="AL58" s="472"/>
      <c r="AM58" s="472"/>
      <c r="AN58" s="472"/>
      <c r="AO58" s="472"/>
    </row>
    <row r="59" spans="1:41" ht="10.5" customHeight="1">
      <c r="A59" s="535" t="s">
        <v>292</v>
      </c>
      <c r="B59" s="2435">
        <f>AG16</f>
        <v>275.10284999999999</v>
      </c>
      <c r="C59" s="2436"/>
      <c r="D59" s="608">
        <f>AH16*80%</f>
        <v>220.08228</v>
      </c>
      <c r="E59" s="608">
        <f>AH16*20%</f>
        <v>55.020569999999999</v>
      </c>
      <c r="F59" s="610"/>
      <c r="G59" s="600"/>
      <c r="H59" s="600"/>
      <c r="I59" s="600"/>
      <c r="J59" s="2078"/>
      <c r="K59" s="601">
        <f t="shared" ref="K59:K60" si="24">SUM(D59:J59)</f>
        <v>275.10284999999999</v>
      </c>
      <c r="L59" s="600"/>
      <c r="M59" s="600"/>
      <c r="N59" s="602"/>
      <c r="O59" s="600"/>
      <c r="P59" s="603">
        <f>H100</f>
        <v>381.80200000000002</v>
      </c>
      <c r="Q59" s="603">
        <f>I98</f>
        <v>450.53</v>
      </c>
      <c r="R59" s="604"/>
      <c r="S59" s="605">
        <f>Q59/P59*10</f>
        <v>11.800095337373822</v>
      </c>
      <c r="T59" s="472"/>
      <c r="U59" s="472"/>
      <c r="V59" s="472"/>
      <c r="X59" s="472"/>
      <c r="Y59" s="472"/>
      <c r="Z59" s="472"/>
      <c r="AB59" s="472"/>
      <c r="AE59" s="472"/>
      <c r="AF59" s="472"/>
      <c r="AG59" s="472"/>
      <c r="AH59" s="472"/>
      <c r="AI59" s="472"/>
      <c r="AJ59" s="472"/>
      <c r="AK59" s="472"/>
      <c r="AL59" s="472"/>
      <c r="AM59" s="472"/>
      <c r="AN59" s="472"/>
      <c r="AO59" s="472"/>
    </row>
    <row r="60" spans="1:41" ht="10.5" customHeight="1" outlineLevel="1">
      <c r="A60" s="543" t="s">
        <v>16</v>
      </c>
      <c r="B60" s="2435">
        <f>K60+L60</f>
        <v>290.49799999999999</v>
      </c>
      <c r="C60" s="2436"/>
      <c r="D60" s="2167">
        <v>175.84</v>
      </c>
      <c r="E60" s="2167">
        <v>114.624</v>
      </c>
      <c r="F60" s="607"/>
      <c r="G60" s="606"/>
      <c r="H60" s="607"/>
      <c r="I60" s="595"/>
      <c r="J60" s="2079"/>
      <c r="K60" s="601">
        <f t="shared" si="24"/>
        <v>290.464</v>
      </c>
      <c r="L60" s="1790">
        <v>3.4000000000000002E-2</v>
      </c>
      <c r="M60" s="595"/>
      <c r="N60" s="609"/>
      <c r="O60" s="595"/>
      <c r="P60" s="603">
        <f>H121</f>
        <v>476.22800000000001</v>
      </c>
      <c r="Q60" s="603">
        <f>I120</f>
        <v>5079.8234599999996</v>
      </c>
      <c r="R60" s="608"/>
      <c r="S60" s="605">
        <f>Q60/P60*10</f>
        <v>106.66788723048623</v>
      </c>
      <c r="T60" s="472"/>
      <c r="U60" s="472"/>
      <c r="V60" s="472"/>
      <c r="X60" s="472"/>
      <c r="Y60" s="472"/>
      <c r="Z60" s="472"/>
      <c r="AB60" s="472"/>
      <c r="AE60" s="472"/>
      <c r="AF60" s="472"/>
      <c r="AG60" s="472"/>
      <c r="AH60" s="472"/>
      <c r="AI60" s="472"/>
      <c r="AJ60" s="472"/>
      <c r="AK60" s="472"/>
      <c r="AL60" s="472"/>
      <c r="AM60" s="472"/>
      <c r="AN60" s="472"/>
      <c r="AO60" s="472"/>
    </row>
    <row r="61" spans="1:41" ht="10.5" customHeight="1" outlineLevel="1">
      <c r="A61" s="543" t="s">
        <v>17</v>
      </c>
      <c r="B61" s="2435">
        <f>B60-B59</f>
        <v>15.395150000000001</v>
      </c>
      <c r="C61" s="2436"/>
      <c r="D61" s="702">
        <f t="shared" ref="D61:S61" si="25">D60-D59</f>
        <v>-44.242279999999994</v>
      </c>
      <c r="E61" s="702">
        <f t="shared" si="25"/>
        <v>59.603429999999996</v>
      </c>
      <c r="F61" s="702">
        <f t="shared" si="25"/>
        <v>0</v>
      </c>
      <c r="G61" s="702">
        <f t="shared" si="25"/>
        <v>0</v>
      </c>
      <c r="H61" s="702">
        <f t="shared" si="25"/>
        <v>0</v>
      </c>
      <c r="I61" s="702">
        <f t="shared" si="25"/>
        <v>0</v>
      </c>
      <c r="J61" s="2080">
        <f t="shared" si="25"/>
        <v>0</v>
      </c>
      <c r="K61" s="702">
        <f t="shared" si="25"/>
        <v>15.361150000000009</v>
      </c>
      <c r="L61" s="702">
        <f t="shared" si="25"/>
        <v>3.4000000000000002E-2</v>
      </c>
      <c r="M61" s="702">
        <f t="shared" si="25"/>
        <v>0</v>
      </c>
      <c r="N61" s="702">
        <f t="shared" si="25"/>
        <v>0</v>
      </c>
      <c r="O61" s="702">
        <f t="shared" si="25"/>
        <v>0</v>
      </c>
      <c r="P61" s="702">
        <f t="shared" si="25"/>
        <v>94.425999999999988</v>
      </c>
      <c r="Q61" s="702">
        <f t="shared" si="25"/>
        <v>4629.2934599999999</v>
      </c>
      <c r="R61" s="702">
        <f t="shared" si="25"/>
        <v>0</v>
      </c>
      <c r="S61" s="702">
        <f t="shared" si="25"/>
        <v>94.867791893112411</v>
      </c>
      <c r="T61" s="472"/>
      <c r="U61" s="472"/>
      <c r="V61" s="472"/>
      <c r="X61" s="472"/>
      <c r="Y61" s="472"/>
      <c r="Z61" s="472"/>
      <c r="AB61" s="472"/>
      <c r="AE61" s="472"/>
      <c r="AF61" s="472"/>
      <c r="AG61" s="472"/>
      <c r="AH61" s="472"/>
      <c r="AI61" s="472"/>
      <c r="AJ61" s="472"/>
      <c r="AK61" s="472"/>
      <c r="AL61" s="472"/>
      <c r="AM61" s="472"/>
      <c r="AN61" s="472"/>
      <c r="AO61" s="472"/>
    </row>
    <row r="62" spans="1:41" ht="10.5" customHeight="1">
      <c r="A62" s="535" t="s">
        <v>520</v>
      </c>
      <c r="B62" s="2435">
        <f>AG19</f>
        <v>413.31465000000003</v>
      </c>
      <c r="C62" s="2436"/>
      <c r="D62" s="591">
        <f>B62-H62</f>
        <v>247.98878999999999</v>
      </c>
      <c r="E62" s="610"/>
      <c r="F62" s="610"/>
      <c r="G62" s="610"/>
      <c r="H62" s="608">
        <f>AH19*40%</f>
        <v>165.32586000000003</v>
      </c>
      <c r="I62" s="610"/>
      <c r="J62" s="2079"/>
      <c r="K62" s="601">
        <f t="shared" ref="K62:K63" si="26">SUM(D62:J62)</f>
        <v>413.31465000000003</v>
      </c>
      <c r="L62" s="600"/>
      <c r="M62" s="602"/>
      <c r="N62" s="602"/>
      <c r="O62" s="600"/>
      <c r="P62" s="603">
        <f>H62*R89*10+R91*J62*10</f>
        <v>1835.1170460000005</v>
      </c>
      <c r="Q62" s="603">
        <f>H62*C89/1000+J62*C91/1000</f>
        <v>3273.4520280000011</v>
      </c>
      <c r="R62" s="605">
        <f>P62/(L19-V19)/10</f>
        <v>2.7443875186935465</v>
      </c>
      <c r="S62" s="605">
        <f>Q62/P62*10</f>
        <v>17.837837837837839</v>
      </c>
      <c r="T62" s="476"/>
      <c r="U62" s="476"/>
      <c r="V62" s="476"/>
      <c r="W62" s="476"/>
      <c r="X62" s="472"/>
      <c r="Y62" s="472"/>
      <c r="Z62" s="472"/>
      <c r="AB62" s="472"/>
      <c r="AE62" s="472"/>
      <c r="AF62" s="472"/>
      <c r="AG62" s="472"/>
      <c r="AH62" s="472"/>
      <c r="AI62" s="472"/>
      <c r="AJ62" s="472"/>
      <c r="AK62" s="472"/>
      <c r="AL62" s="472"/>
      <c r="AM62" s="472"/>
      <c r="AN62" s="472"/>
      <c r="AO62" s="472"/>
    </row>
    <row r="63" spans="1:41" ht="10.5" customHeight="1" outlineLevel="1">
      <c r="A63" s="543" t="s">
        <v>16</v>
      </c>
      <c r="B63" s="2435">
        <f>K63+L63</f>
        <v>318.93700000000001</v>
      </c>
      <c r="C63" s="2436"/>
      <c r="D63" s="2167">
        <v>218.256</v>
      </c>
      <c r="E63" s="607"/>
      <c r="F63" s="607"/>
      <c r="G63" s="606"/>
      <c r="H63" s="2167">
        <v>100.681</v>
      </c>
      <c r="I63" s="595"/>
      <c r="J63" s="2079"/>
      <c r="K63" s="601">
        <f t="shared" si="26"/>
        <v>318.93700000000001</v>
      </c>
      <c r="L63" s="595"/>
      <c r="M63" s="595"/>
      <c r="N63" s="609"/>
      <c r="O63" s="595"/>
      <c r="P63" s="603">
        <f>J121-P54-P66</f>
        <v>545.46049999999991</v>
      </c>
      <c r="Q63" s="603">
        <f>K120-Q54-Q66</f>
        <v>5307.9007704642881</v>
      </c>
      <c r="R63" s="605">
        <f>P63/(L20-V20)/10</f>
        <v>0.952952532364297</v>
      </c>
      <c r="S63" s="605">
        <f>Q63/P63*10</f>
        <v>97.310451819412947</v>
      </c>
      <c r="T63" s="472"/>
      <c r="U63" s="472"/>
      <c r="V63" s="472"/>
      <c r="X63" s="472"/>
      <c r="Y63" s="472"/>
      <c r="Z63" s="472"/>
      <c r="AB63" s="472"/>
      <c r="AE63" s="472"/>
      <c r="AF63" s="472"/>
      <c r="AG63" s="472"/>
      <c r="AH63" s="472"/>
      <c r="AI63" s="472"/>
      <c r="AJ63" s="472"/>
      <c r="AK63" s="472"/>
      <c r="AL63" s="472"/>
      <c r="AM63" s="472"/>
      <c r="AN63" s="472"/>
      <c r="AO63" s="472"/>
    </row>
    <row r="64" spans="1:41" ht="10.5" customHeight="1" outlineLevel="1">
      <c r="A64" s="543" t="s">
        <v>17</v>
      </c>
      <c r="B64" s="2435">
        <f>B63-B62</f>
        <v>-94.377650000000017</v>
      </c>
      <c r="C64" s="2436"/>
      <c r="D64" s="702">
        <f t="shared" ref="D64:S64" si="27">D63-D62</f>
        <v>-29.732789999999994</v>
      </c>
      <c r="E64" s="702">
        <f t="shared" si="27"/>
        <v>0</v>
      </c>
      <c r="F64" s="702">
        <f t="shared" si="27"/>
        <v>0</v>
      </c>
      <c r="G64" s="702">
        <f t="shared" si="27"/>
        <v>0</v>
      </c>
      <c r="H64" s="702">
        <f t="shared" si="27"/>
        <v>-64.644860000000037</v>
      </c>
      <c r="I64" s="702">
        <f t="shared" si="27"/>
        <v>0</v>
      </c>
      <c r="J64" s="2080">
        <f t="shared" si="27"/>
        <v>0</v>
      </c>
      <c r="K64" s="702">
        <f t="shared" si="27"/>
        <v>-94.377650000000017</v>
      </c>
      <c r="L64" s="702">
        <f t="shared" si="27"/>
        <v>0</v>
      </c>
      <c r="M64" s="702">
        <f t="shared" si="27"/>
        <v>0</v>
      </c>
      <c r="N64" s="702">
        <f t="shared" si="27"/>
        <v>0</v>
      </c>
      <c r="O64" s="702">
        <f t="shared" si="27"/>
        <v>0</v>
      </c>
      <c r="P64" s="702">
        <f t="shared" si="27"/>
        <v>-1289.6565460000006</v>
      </c>
      <c r="Q64" s="702">
        <f t="shared" si="27"/>
        <v>2034.4487424642871</v>
      </c>
      <c r="R64" s="702">
        <f t="shared" si="27"/>
        <v>-1.7914349863292496</v>
      </c>
      <c r="S64" s="702">
        <f t="shared" si="27"/>
        <v>79.472613981575108</v>
      </c>
      <c r="T64" s="472"/>
      <c r="U64" s="472"/>
      <c r="V64" s="472"/>
      <c r="X64" s="472"/>
      <c r="Y64" s="472"/>
      <c r="Z64" s="472"/>
      <c r="AB64" s="472"/>
      <c r="AE64" s="472"/>
      <c r="AF64" s="472"/>
      <c r="AG64" s="472"/>
      <c r="AH64" s="472"/>
      <c r="AI64" s="472"/>
      <c r="AJ64" s="472"/>
      <c r="AK64" s="472"/>
      <c r="AL64" s="472"/>
      <c r="AM64" s="472"/>
      <c r="AN64" s="472"/>
      <c r="AO64" s="472"/>
    </row>
    <row r="65" spans="1:41" ht="10.5" customHeight="1">
      <c r="A65" s="535" t="s">
        <v>521</v>
      </c>
      <c r="B65" s="2435">
        <f>AG22</f>
        <v>0</v>
      </c>
      <c r="C65" s="2436"/>
      <c r="D65" s="610"/>
      <c r="E65" s="610"/>
      <c r="F65" s="610"/>
      <c r="G65" s="610"/>
      <c r="H65" s="610"/>
      <c r="I65" s="610"/>
      <c r="J65" s="2079">
        <f>AH22</f>
        <v>0</v>
      </c>
      <c r="K65" s="601">
        <f t="shared" ref="K65:K66" si="28">SUM(D65:J65)</f>
        <v>0</v>
      </c>
      <c r="L65" s="600"/>
      <c r="M65" s="602"/>
      <c r="N65" s="602"/>
      <c r="O65" s="600"/>
      <c r="P65" s="603">
        <f>J65*R91*10</f>
        <v>0</v>
      </c>
      <c r="Q65" s="603">
        <f>J65*C91/1000</f>
        <v>0</v>
      </c>
      <c r="R65" s="605"/>
      <c r="S65" s="605" t="e">
        <f>Q65/P65*10</f>
        <v>#DIV/0!</v>
      </c>
      <c r="T65" s="476"/>
      <c r="U65" s="476"/>
      <c r="V65" s="476"/>
      <c r="W65" s="476"/>
      <c r="X65" s="472"/>
      <c r="Y65" s="472"/>
      <c r="Z65" s="472"/>
      <c r="AB65" s="472"/>
      <c r="AE65" s="472"/>
      <c r="AF65" s="472"/>
      <c r="AG65" s="472"/>
      <c r="AH65" s="472"/>
      <c r="AI65" s="472"/>
      <c r="AJ65" s="472"/>
      <c r="AK65" s="472"/>
      <c r="AL65" s="472"/>
      <c r="AM65" s="472"/>
      <c r="AN65" s="472"/>
      <c r="AO65" s="472"/>
    </row>
    <row r="66" spans="1:41" ht="10.5" customHeight="1" outlineLevel="1">
      <c r="A66" s="543" t="s">
        <v>16</v>
      </c>
      <c r="B66" s="2435">
        <f>K66+L66</f>
        <v>0</v>
      </c>
      <c r="C66" s="2436"/>
      <c r="D66" s="606"/>
      <c r="E66" s="607"/>
      <c r="F66" s="607"/>
      <c r="G66" s="606"/>
      <c r="H66" s="607"/>
      <c r="I66" s="595"/>
      <c r="J66" s="2079"/>
      <c r="K66" s="601">
        <f t="shared" si="28"/>
        <v>0</v>
      </c>
      <c r="L66" s="595"/>
      <c r="M66" s="595"/>
      <c r="N66" s="609"/>
      <c r="O66" s="595"/>
      <c r="P66" s="603">
        <f>D66*R85*10+J66*R91*10</f>
        <v>0</v>
      </c>
      <c r="Q66" s="603">
        <f>D66*C85/1000+J66*C91/1000</f>
        <v>0</v>
      </c>
      <c r="R66" s="605" t="e">
        <f>P66/(L23-V23)/10</f>
        <v>#DIV/0!</v>
      </c>
      <c r="S66" s="605" t="e">
        <f>Q66/P66*10</f>
        <v>#DIV/0!</v>
      </c>
      <c r="T66" s="472"/>
      <c r="U66" s="472"/>
      <c r="V66" s="472"/>
      <c r="X66" s="472"/>
      <c r="Y66" s="472"/>
      <c r="Z66" s="472"/>
      <c r="AB66" s="472"/>
      <c r="AE66" s="472"/>
      <c r="AF66" s="472"/>
      <c r="AG66" s="472"/>
      <c r="AH66" s="472"/>
      <c r="AI66" s="472"/>
      <c r="AJ66" s="472"/>
      <c r="AK66" s="472"/>
      <c r="AL66" s="472"/>
      <c r="AM66" s="472"/>
      <c r="AN66" s="472"/>
      <c r="AO66" s="472"/>
    </row>
    <row r="67" spans="1:41" ht="10.5" customHeight="1" outlineLevel="1">
      <c r="A67" s="543" t="s">
        <v>17</v>
      </c>
      <c r="B67" s="2435">
        <f>B66-B65</f>
        <v>0</v>
      </c>
      <c r="C67" s="2436"/>
      <c r="D67" s="702">
        <f t="shared" ref="D67:S67" si="29">D66-D65</f>
        <v>0</v>
      </c>
      <c r="E67" s="702">
        <f t="shared" si="29"/>
        <v>0</v>
      </c>
      <c r="F67" s="702">
        <f t="shared" si="29"/>
        <v>0</v>
      </c>
      <c r="G67" s="702">
        <f t="shared" si="29"/>
        <v>0</v>
      </c>
      <c r="H67" s="702">
        <f t="shared" si="29"/>
        <v>0</v>
      </c>
      <c r="I67" s="702">
        <f t="shared" si="29"/>
        <v>0</v>
      </c>
      <c r="J67" s="2080">
        <f t="shared" si="29"/>
        <v>0</v>
      </c>
      <c r="K67" s="702">
        <f t="shared" si="29"/>
        <v>0</v>
      </c>
      <c r="L67" s="702">
        <f t="shared" si="29"/>
        <v>0</v>
      </c>
      <c r="M67" s="702">
        <f t="shared" si="29"/>
        <v>0</v>
      </c>
      <c r="N67" s="702">
        <f t="shared" si="29"/>
        <v>0</v>
      </c>
      <c r="O67" s="702">
        <f t="shared" si="29"/>
        <v>0</v>
      </c>
      <c r="P67" s="702">
        <f t="shared" si="29"/>
        <v>0</v>
      </c>
      <c r="Q67" s="702">
        <f t="shared" si="29"/>
        <v>0</v>
      </c>
      <c r="R67" s="702" t="e">
        <f t="shared" si="29"/>
        <v>#DIV/0!</v>
      </c>
      <c r="S67" s="702" t="e">
        <f t="shared" si="29"/>
        <v>#DIV/0!</v>
      </c>
      <c r="T67" s="472"/>
      <c r="U67" s="472"/>
      <c r="V67" s="472"/>
      <c r="X67" s="472"/>
      <c r="Y67" s="472"/>
      <c r="Z67" s="472"/>
      <c r="AB67" s="472"/>
      <c r="AE67" s="472"/>
      <c r="AF67" s="472"/>
      <c r="AG67" s="472"/>
      <c r="AH67" s="472"/>
      <c r="AI67" s="472"/>
      <c r="AJ67" s="472"/>
      <c r="AK67" s="472"/>
      <c r="AL67" s="472"/>
      <c r="AM67" s="472"/>
      <c r="AN67" s="472"/>
      <c r="AO67" s="472"/>
    </row>
    <row r="68" spans="1:41" ht="10.5" customHeight="1">
      <c r="A68" s="535" t="s">
        <v>322</v>
      </c>
      <c r="B68" s="2435">
        <f>AG25</f>
        <v>23.337784599999999</v>
      </c>
      <c r="C68" s="2436"/>
      <c r="D68" s="600"/>
      <c r="E68" s="600"/>
      <c r="F68" s="608">
        <f>AH25</f>
        <v>23.337784599999999</v>
      </c>
      <c r="G68" s="600"/>
      <c r="H68" s="602"/>
      <c r="I68" s="600"/>
      <c r="J68" s="2078"/>
      <c r="K68" s="601">
        <f t="shared" ref="K68:K69" si="30">SUM(D68:J68)</f>
        <v>23.337784599999999</v>
      </c>
      <c r="L68" s="600"/>
      <c r="M68" s="600"/>
      <c r="N68" s="608">
        <f>0.15*9</f>
        <v>1.3499999999999999</v>
      </c>
      <c r="O68" s="600"/>
      <c r="P68" s="603">
        <f>L100</f>
        <v>50.482999999999997</v>
      </c>
      <c r="Q68" s="603">
        <f>M98</f>
        <v>181.7</v>
      </c>
      <c r="R68" s="605">
        <f>P68/(L25-V25)/10</f>
        <v>2.6630414599520931E-2</v>
      </c>
      <c r="S68" s="605">
        <f>Q68/P68*10</f>
        <v>35.992314244399104</v>
      </c>
      <c r="T68" s="476"/>
      <c r="U68" s="476"/>
      <c r="V68" s="476"/>
      <c r="W68" s="476"/>
      <c r="X68" s="472"/>
      <c r="Y68" s="472"/>
      <c r="Z68" s="472"/>
      <c r="AB68" s="472"/>
      <c r="AE68" s="472"/>
      <c r="AF68" s="472"/>
      <c r="AG68" s="472"/>
      <c r="AH68" s="472"/>
      <c r="AI68" s="472"/>
      <c r="AJ68" s="472"/>
      <c r="AK68" s="472"/>
      <c r="AL68" s="472"/>
      <c r="AM68" s="472"/>
      <c r="AN68" s="472"/>
      <c r="AO68" s="472"/>
    </row>
    <row r="69" spans="1:41" ht="10.5" customHeight="1" outlineLevel="1">
      <c r="A69" s="543" t="s">
        <v>16</v>
      </c>
      <c r="B69" s="2435">
        <f>K69+L69</f>
        <v>17.559999999999999</v>
      </c>
      <c r="C69" s="2436"/>
      <c r="D69" s="606"/>
      <c r="E69" s="607"/>
      <c r="F69" s="2167">
        <v>17.559999999999999</v>
      </c>
      <c r="G69" s="606"/>
      <c r="H69" s="607"/>
      <c r="I69" s="595"/>
      <c r="J69" s="2079"/>
      <c r="K69" s="601">
        <f t="shared" si="30"/>
        <v>17.559999999999999</v>
      </c>
      <c r="L69" s="595"/>
      <c r="M69" s="595"/>
      <c r="N69" s="1790">
        <v>1.046</v>
      </c>
      <c r="O69" s="595"/>
      <c r="P69" s="603">
        <f>L121</f>
        <v>36.558</v>
      </c>
      <c r="Q69" s="603">
        <f>M120</f>
        <v>886.44628</v>
      </c>
      <c r="R69" s="605">
        <f>P69/(L26-V26)/10</f>
        <v>1.8322607806579662E-2</v>
      </c>
      <c r="S69" s="605">
        <f>Q69/P69*10</f>
        <v>242.47668909677773</v>
      </c>
      <c r="T69" s="472"/>
      <c r="U69" s="472"/>
      <c r="V69" s="472"/>
      <c r="X69" s="472"/>
      <c r="Y69" s="472"/>
      <c r="Z69" s="472"/>
      <c r="AB69" s="472"/>
      <c r="AE69" s="472"/>
      <c r="AF69" s="472"/>
      <c r="AG69" s="472"/>
      <c r="AH69" s="472"/>
      <c r="AI69" s="472"/>
      <c r="AJ69" s="472"/>
      <c r="AK69" s="472"/>
      <c r="AL69" s="472"/>
      <c r="AM69" s="472"/>
      <c r="AN69" s="472"/>
      <c r="AO69" s="472"/>
    </row>
    <row r="70" spans="1:41" ht="10.5" customHeight="1" outlineLevel="1">
      <c r="A70" s="543" t="s">
        <v>17</v>
      </c>
      <c r="B70" s="2435">
        <f>B69-B68</f>
        <v>-5.7777846000000004</v>
      </c>
      <c r="C70" s="2436"/>
      <c r="D70" s="702">
        <f t="shared" ref="D70:S70" si="31">D69-D68</f>
        <v>0</v>
      </c>
      <c r="E70" s="702">
        <f t="shared" si="31"/>
        <v>0</v>
      </c>
      <c r="F70" s="702">
        <f t="shared" si="31"/>
        <v>-5.7777846000000004</v>
      </c>
      <c r="G70" s="702">
        <f t="shared" si="31"/>
        <v>0</v>
      </c>
      <c r="H70" s="702">
        <f t="shared" si="31"/>
        <v>0</v>
      </c>
      <c r="I70" s="702">
        <f t="shared" si="31"/>
        <v>0</v>
      </c>
      <c r="J70" s="2080">
        <f t="shared" si="31"/>
        <v>0</v>
      </c>
      <c r="K70" s="702">
        <f t="shared" si="31"/>
        <v>-5.7777846000000004</v>
      </c>
      <c r="L70" s="702">
        <f t="shared" si="31"/>
        <v>0</v>
      </c>
      <c r="M70" s="702">
        <f t="shared" si="31"/>
        <v>0</v>
      </c>
      <c r="N70" s="702">
        <f t="shared" si="31"/>
        <v>-0.30399999999999983</v>
      </c>
      <c r="O70" s="702">
        <f t="shared" si="31"/>
        <v>0</v>
      </c>
      <c r="P70" s="702">
        <f t="shared" si="31"/>
        <v>-13.924999999999997</v>
      </c>
      <c r="Q70" s="702">
        <f t="shared" si="31"/>
        <v>704.74628000000007</v>
      </c>
      <c r="R70" s="702">
        <f t="shared" si="31"/>
        <v>-8.3078067929412691E-3</v>
      </c>
      <c r="S70" s="702">
        <f t="shared" si="31"/>
        <v>206.48437485237864</v>
      </c>
      <c r="T70" s="472"/>
      <c r="U70" s="472"/>
      <c r="V70" s="472"/>
      <c r="X70" s="472"/>
      <c r="Y70" s="472"/>
      <c r="Z70" s="472"/>
      <c r="AB70" s="472"/>
      <c r="AE70" s="472"/>
      <c r="AF70" s="472"/>
      <c r="AG70" s="472"/>
      <c r="AH70" s="472"/>
      <c r="AI70" s="472"/>
      <c r="AJ70" s="472"/>
      <c r="AK70" s="472"/>
      <c r="AL70" s="472"/>
      <c r="AM70" s="472"/>
      <c r="AN70" s="472"/>
      <c r="AO70" s="472"/>
    </row>
    <row r="71" spans="1:41" ht="10.5" customHeight="1">
      <c r="A71" s="535" t="s">
        <v>323</v>
      </c>
      <c r="B71" s="2435">
        <f>AG28</f>
        <v>1393.6797877500001</v>
      </c>
      <c r="C71" s="2436"/>
      <c r="D71" s="600"/>
      <c r="E71" s="600"/>
      <c r="F71" s="512">
        <f>B71*3%</f>
        <v>41.810393632500002</v>
      </c>
      <c r="G71" s="512">
        <f>B71*0.37</f>
        <v>515.66152146750005</v>
      </c>
      <c r="H71" s="512">
        <f>B71-F71-G71</f>
        <v>836.2078726499999</v>
      </c>
      <c r="I71" s="600"/>
      <c r="J71" s="2078"/>
      <c r="K71" s="601">
        <f t="shared" ref="K71:K72" si="32">SUM(D71:J71)</f>
        <v>1393.6797877499998</v>
      </c>
      <c r="L71" s="600"/>
      <c r="M71" s="600"/>
      <c r="N71" s="602"/>
      <c r="O71" s="600"/>
      <c r="P71" s="603">
        <f>N100</f>
        <v>3738.076</v>
      </c>
      <c r="Q71" s="603">
        <f>O98</f>
        <v>9225.24</v>
      </c>
      <c r="R71" s="605">
        <f>P71/(L28-V28)/10</f>
        <v>0.42823469812162618</v>
      </c>
      <c r="S71" s="605">
        <f>Q71/P71*10</f>
        <v>24.679112998237596</v>
      </c>
      <c r="T71" s="476"/>
      <c r="U71" s="476"/>
      <c r="V71" s="476"/>
      <c r="W71" s="476"/>
      <c r="X71" s="476"/>
      <c r="Y71" s="476"/>
      <c r="Z71" s="476"/>
      <c r="AA71" s="476"/>
      <c r="AB71" s="476"/>
      <c r="AE71" s="476"/>
      <c r="AF71" s="476"/>
      <c r="AG71" s="472"/>
      <c r="AH71" s="472"/>
      <c r="AI71" s="472"/>
      <c r="AJ71" s="472"/>
      <c r="AK71" s="472"/>
      <c r="AL71" s="472"/>
      <c r="AM71" s="472"/>
      <c r="AN71" s="472"/>
      <c r="AO71" s="472"/>
    </row>
    <row r="72" spans="1:41" ht="10.5" customHeight="1" outlineLevel="1">
      <c r="A72" s="543" t="s">
        <v>16</v>
      </c>
      <c r="B72" s="2435">
        <f>K72+L72</f>
        <v>1677.3009999999999</v>
      </c>
      <c r="C72" s="2436"/>
      <c r="D72" s="606"/>
      <c r="E72" s="607"/>
      <c r="F72" s="2167">
        <v>26.88</v>
      </c>
      <c r="G72" s="2167">
        <v>684.38199999999995</v>
      </c>
      <c r="H72" s="2167">
        <v>966.03899999999999</v>
      </c>
      <c r="I72" s="595"/>
      <c r="J72" s="2079"/>
      <c r="K72" s="601">
        <f t="shared" si="32"/>
        <v>1677.3009999999999</v>
      </c>
      <c r="L72" s="595"/>
      <c r="M72" s="595"/>
      <c r="N72" s="609"/>
      <c r="O72" s="595"/>
      <c r="P72" s="603">
        <f>N121</f>
        <v>3771.953</v>
      </c>
      <c r="Q72" s="603">
        <f>O120</f>
        <v>37805.740519999999</v>
      </c>
      <c r="R72" s="605">
        <f>P72/(L29-V29)/10</f>
        <v>0.45733946845142831</v>
      </c>
      <c r="S72" s="605">
        <f>Q72/P72*10</f>
        <v>100.2285567184957</v>
      </c>
      <c r="T72" s="472"/>
      <c r="U72" s="472"/>
      <c r="V72" s="472"/>
      <c r="X72" s="472"/>
      <c r="Y72" s="472"/>
      <c r="Z72" s="472"/>
      <c r="AB72" s="472"/>
      <c r="AE72" s="472"/>
      <c r="AF72" s="472"/>
      <c r="AG72" s="472"/>
      <c r="AH72" s="472"/>
      <c r="AI72" s="472"/>
      <c r="AJ72" s="472"/>
      <c r="AK72" s="472"/>
      <c r="AL72" s="472"/>
      <c r="AM72" s="472"/>
      <c r="AN72" s="472"/>
      <c r="AO72" s="472"/>
    </row>
    <row r="73" spans="1:41" ht="10.5" customHeight="1" outlineLevel="1">
      <c r="A73" s="543" t="s">
        <v>17</v>
      </c>
      <c r="B73" s="2435">
        <f>B72-B71</f>
        <v>283.62121224999987</v>
      </c>
      <c r="C73" s="2436"/>
      <c r="D73" s="702">
        <f t="shared" ref="D73:S73" si="33">D72-D71</f>
        <v>0</v>
      </c>
      <c r="E73" s="702">
        <f t="shared" si="33"/>
        <v>0</v>
      </c>
      <c r="F73" s="702">
        <f t="shared" si="33"/>
        <v>-14.930393632500003</v>
      </c>
      <c r="G73" s="702">
        <f t="shared" si="33"/>
        <v>168.7204785324999</v>
      </c>
      <c r="H73" s="702">
        <f t="shared" si="33"/>
        <v>129.83112735000009</v>
      </c>
      <c r="I73" s="702">
        <f t="shared" si="33"/>
        <v>0</v>
      </c>
      <c r="J73" s="2080">
        <f t="shared" si="33"/>
        <v>0</v>
      </c>
      <c r="K73" s="702">
        <f t="shared" si="33"/>
        <v>283.6212122500001</v>
      </c>
      <c r="L73" s="702">
        <f t="shared" si="33"/>
        <v>0</v>
      </c>
      <c r="M73" s="702">
        <f t="shared" si="33"/>
        <v>0</v>
      </c>
      <c r="N73" s="702">
        <f t="shared" si="33"/>
        <v>0</v>
      </c>
      <c r="O73" s="702">
        <f t="shared" si="33"/>
        <v>0</v>
      </c>
      <c r="P73" s="702">
        <f t="shared" si="33"/>
        <v>33.876999999999953</v>
      </c>
      <c r="Q73" s="702">
        <f t="shared" si="33"/>
        <v>28580.500520000001</v>
      </c>
      <c r="R73" s="702">
        <f t="shared" si="33"/>
        <v>2.9104770329802132E-2</v>
      </c>
      <c r="S73" s="702">
        <f t="shared" si="33"/>
        <v>75.549443720258097</v>
      </c>
      <c r="T73" s="472"/>
      <c r="U73" s="472"/>
      <c r="V73" s="472"/>
      <c r="X73" s="472"/>
      <c r="Y73" s="472"/>
      <c r="Z73" s="472"/>
      <c r="AB73" s="472"/>
      <c r="AE73" s="472"/>
      <c r="AF73" s="472"/>
      <c r="AG73" s="472"/>
      <c r="AH73" s="472"/>
      <c r="AI73" s="472"/>
      <c r="AJ73" s="472"/>
      <c r="AK73" s="472"/>
      <c r="AL73" s="472"/>
      <c r="AM73" s="472"/>
      <c r="AN73" s="472"/>
      <c r="AO73" s="472"/>
    </row>
    <row r="74" spans="1:41" s="480" customFormat="1" ht="10.5" customHeight="1">
      <c r="A74" s="548" t="s">
        <v>438</v>
      </c>
      <c r="B74" s="2445">
        <f t="shared" ref="B74:B75" si="34">B50+B53+B56+B59+B62+B65+B68+B71</f>
        <v>3194.6266223499997</v>
      </c>
      <c r="C74" s="2446"/>
      <c r="D74" s="611">
        <f>D50+D53+D56+D59+D62+D65+D68+D71</f>
        <v>1196.6630879999998</v>
      </c>
      <c r="E74" s="611">
        <f t="shared" ref="E74:O74" si="35">E50+E53+E56+E59+E62+E65+E68+E71</f>
        <v>415.62010199999986</v>
      </c>
      <c r="F74" s="611">
        <f t="shared" si="35"/>
        <v>65.148178232500001</v>
      </c>
      <c r="G74" s="611">
        <f t="shared" si="35"/>
        <v>515.66152146750005</v>
      </c>
      <c r="H74" s="611">
        <f t="shared" si="35"/>
        <v>1001.5337326499999</v>
      </c>
      <c r="I74" s="611">
        <f t="shared" si="35"/>
        <v>0</v>
      </c>
      <c r="J74" s="2081">
        <f t="shared" si="35"/>
        <v>0</v>
      </c>
      <c r="K74" s="611">
        <f t="shared" si="35"/>
        <v>3194.6266223499997</v>
      </c>
      <c r="L74" s="611">
        <f t="shared" si="35"/>
        <v>0</v>
      </c>
      <c r="M74" s="611">
        <f t="shared" si="35"/>
        <v>0</v>
      </c>
      <c r="N74" s="611">
        <f t="shared" si="35"/>
        <v>1.3499999999999999</v>
      </c>
      <c r="O74" s="611">
        <f t="shared" si="35"/>
        <v>0</v>
      </c>
      <c r="P74" s="611">
        <f>P50+P53+P56+P59+P62+P65+P68+P71</f>
        <v>9362.3142460000017</v>
      </c>
      <c r="Q74" s="611">
        <f t="shared" ref="Q74:Q75" si="36">Q50+Q53+Q56+Q59+Q62+Q65+Q68+Q71</f>
        <v>17301.588427999999</v>
      </c>
      <c r="R74" s="612">
        <f>P74/(E34+L34-V34+V7+V13+V16)/10</f>
        <v>0.77040489970780102</v>
      </c>
      <c r="S74" s="605">
        <f>Q74/P74*10</f>
        <v>18.480033860636553</v>
      </c>
      <c r="U74" s="476"/>
      <c r="V74" s="476"/>
      <c r="W74" s="476"/>
      <c r="X74" s="476"/>
      <c r="Y74" s="476"/>
      <c r="Z74" s="476"/>
      <c r="AA74" s="476"/>
      <c r="AC74" s="1771"/>
      <c r="AD74" s="1771"/>
    </row>
    <row r="75" spans="1:41" ht="10.5" customHeight="1" outlineLevel="1">
      <c r="A75" s="543" t="s">
        <v>437</v>
      </c>
      <c r="B75" s="2445">
        <f t="shared" si="34"/>
        <v>3389.1699999999996</v>
      </c>
      <c r="C75" s="2446"/>
      <c r="D75" s="611">
        <f>D51+D54+D57+D60+D63+D66+D69+D72</f>
        <v>1052.461</v>
      </c>
      <c r="E75" s="611">
        <f t="shared" ref="E75:O75" si="37">E51+E54+E57+E60+E63+E66+E69+E72</f>
        <v>540.95699999999999</v>
      </c>
      <c r="F75" s="611">
        <f t="shared" si="37"/>
        <v>44.44</v>
      </c>
      <c r="G75" s="611">
        <f t="shared" si="37"/>
        <v>684.38199999999995</v>
      </c>
      <c r="H75" s="611">
        <f t="shared" si="37"/>
        <v>1066.72</v>
      </c>
      <c r="I75" s="611">
        <f t="shared" si="37"/>
        <v>0</v>
      </c>
      <c r="J75" s="2081">
        <f t="shared" si="37"/>
        <v>0</v>
      </c>
      <c r="K75" s="611">
        <f t="shared" si="37"/>
        <v>3388.9599999999996</v>
      </c>
      <c r="L75" s="611">
        <f t="shared" si="37"/>
        <v>0.21</v>
      </c>
      <c r="M75" s="611">
        <f t="shared" si="37"/>
        <v>0</v>
      </c>
      <c r="N75" s="611">
        <f t="shared" si="37"/>
        <v>1.046</v>
      </c>
      <c r="O75" s="611">
        <f t="shared" si="37"/>
        <v>0.123</v>
      </c>
      <c r="P75" s="611">
        <f>P51+P54+P57+P60+P63+P66+P69+P72</f>
        <v>8239.2919999999995</v>
      </c>
      <c r="Q75" s="611">
        <f t="shared" si="36"/>
        <v>68040.359970000005</v>
      </c>
      <c r="R75" s="612">
        <f>P75/(E35+L35-V35+V8+V14+V17)/10</f>
        <v>0.70717648401806898</v>
      </c>
      <c r="S75" s="605">
        <f>Q75/P75*10</f>
        <v>82.580347886687363</v>
      </c>
      <c r="T75" s="472"/>
      <c r="U75" s="472"/>
      <c r="V75" s="472"/>
      <c r="X75" s="472"/>
      <c r="Y75" s="472"/>
      <c r="Z75" s="472"/>
      <c r="AB75" s="472"/>
      <c r="AE75" s="472"/>
      <c r="AF75" s="472"/>
      <c r="AG75" s="472"/>
      <c r="AH75" s="472"/>
      <c r="AI75" s="472"/>
      <c r="AJ75" s="472"/>
      <c r="AK75" s="472"/>
      <c r="AL75" s="472"/>
      <c r="AM75" s="472"/>
      <c r="AN75" s="472"/>
      <c r="AO75" s="472"/>
    </row>
    <row r="76" spans="1:41" ht="10.5" customHeight="1" outlineLevel="1">
      <c r="A76" s="543" t="s">
        <v>197</v>
      </c>
      <c r="B76" s="2435">
        <f>B75-B74</f>
        <v>194.54337764999991</v>
      </c>
      <c r="C76" s="2436"/>
      <c r="D76" s="702">
        <f t="shared" ref="D76:S76" si="38">D75-D74</f>
        <v>-144.20208799999978</v>
      </c>
      <c r="E76" s="702">
        <f t="shared" si="38"/>
        <v>125.33689800000013</v>
      </c>
      <c r="F76" s="702">
        <f>F75-F74</f>
        <v>-20.708178232500003</v>
      </c>
      <c r="G76" s="702">
        <f t="shared" si="38"/>
        <v>168.7204785324999</v>
      </c>
      <c r="H76" s="702">
        <f t="shared" si="38"/>
        <v>65.186267350000094</v>
      </c>
      <c r="I76" s="702">
        <f t="shared" si="38"/>
        <v>0</v>
      </c>
      <c r="J76" s="2080">
        <f t="shared" si="38"/>
        <v>0</v>
      </c>
      <c r="K76" s="702">
        <f t="shared" si="38"/>
        <v>194.33337764999987</v>
      </c>
      <c r="L76" s="702">
        <f t="shared" si="38"/>
        <v>0.21</v>
      </c>
      <c r="M76" s="702">
        <f t="shared" si="38"/>
        <v>0</v>
      </c>
      <c r="N76" s="702">
        <f t="shared" si="38"/>
        <v>-0.30399999999999983</v>
      </c>
      <c r="O76" s="702">
        <f t="shared" si="38"/>
        <v>0.123</v>
      </c>
      <c r="P76" s="702">
        <f t="shared" si="38"/>
        <v>-1123.0222460000023</v>
      </c>
      <c r="Q76" s="702">
        <f t="shared" si="38"/>
        <v>50738.771542000002</v>
      </c>
      <c r="R76" s="702">
        <f t="shared" si="38"/>
        <v>-6.3228415689732032E-2</v>
      </c>
      <c r="S76" s="702">
        <f t="shared" si="38"/>
        <v>64.10031402605081</v>
      </c>
      <c r="T76" s="472"/>
      <c r="U76" s="472"/>
      <c r="V76" s="472"/>
      <c r="X76" s="472"/>
      <c r="Y76" s="472"/>
      <c r="Z76" s="472"/>
      <c r="AB76" s="472"/>
      <c r="AE76" s="472"/>
      <c r="AF76" s="472"/>
      <c r="AG76" s="472"/>
      <c r="AH76" s="472"/>
      <c r="AI76" s="472"/>
      <c r="AJ76" s="472"/>
      <c r="AK76" s="472"/>
      <c r="AL76" s="472"/>
      <c r="AM76" s="472"/>
      <c r="AN76" s="472"/>
      <c r="AO76" s="472"/>
    </row>
    <row r="77" spans="1:41" ht="10.5" customHeight="1">
      <c r="A77" s="535" t="s">
        <v>294</v>
      </c>
      <c r="B77" s="2341">
        <f>AG43</f>
        <v>4885.7325305000004</v>
      </c>
      <c r="C77" s="2342"/>
      <c r="D77" s="600"/>
      <c r="E77" s="600"/>
      <c r="F77" s="600"/>
      <c r="G77" s="600"/>
      <c r="H77" s="608">
        <f>X89</f>
        <v>2052.0076628100001</v>
      </c>
      <c r="I77" s="608">
        <f>X90</f>
        <v>2833.7248676899999</v>
      </c>
      <c r="J77" s="2078"/>
      <c r="K77" s="601">
        <f t="shared" ref="K77:K78" si="39">SUM(D77:J77)</f>
        <v>4885.7325304999995</v>
      </c>
      <c r="L77" s="600"/>
      <c r="M77" s="600"/>
      <c r="N77" s="602"/>
      <c r="O77" s="600"/>
      <c r="P77" s="603">
        <f>X100</f>
        <v>13833</v>
      </c>
      <c r="Q77" s="603">
        <f>Y98</f>
        <v>83985.742199294997</v>
      </c>
      <c r="R77" s="605">
        <f>P77/(L43-V43)/10</f>
        <v>0.88795034056358657</v>
      </c>
      <c r="S77" s="605">
        <f>Q77/P77*10</f>
        <v>60.71404771148341</v>
      </c>
      <c r="T77" s="476"/>
      <c r="U77" s="476"/>
      <c r="V77" s="476"/>
      <c r="W77" s="476"/>
      <c r="X77" s="476"/>
      <c r="Y77" s="476"/>
      <c r="Z77" s="476"/>
      <c r="AA77" s="476"/>
      <c r="AB77" s="476"/>
      <c r="AE77" s="476"/>
      <c r="AF77" s="476"/>
      <c r="AG77" s="472"/>
      <c r="AH77" s="472"/>
      <c r="AI77" s="472"/>
      <c r="AJ77" s="472"/>
      <c r="AK77" s="472"/>
      <c r="AL77" s="472"/>
      <c r="AM77" s="472"/>
      <c r="AN77" s="472"/>
      <c r="AO77" s="472"/>
    </row>
    <row r="78" spans="1:41" ht="10.5" customHeight="1" outlineLevel="1">
      <c r="A78" s="543" t="s">
        <v>16</v>
      </c>
      <c r="B78" s="2441">
        <f>K78+L78</f>
        <v>5297.2359999999999</v>
      </c>
      <c r="C78" s="2442"/>
      <c r="D78" s="544"/>
      <c r="E78" s="545"/>
      <c r="F78" s="545"/>
      <c r="G78" s="544"/>
      <c r="H78" s="1790">
        <v>931.91700000000003</v>
      </c>
      <c r="I78" s="1790">
        <v>3500.212</v>
      </c>
      <c r="J78" s="2176">
        <v>865.10699999999997</v>
      </c>
      <c r="K78" s="601">
        <f t="shared" si="39"/>
        <v>5297.2359999999999</v>
      </c>
      <c r="L78" s="529"/>
      <c r="M78" s="529"/>
      <c r="N78" s="546"/>
      <c r="O78" s="529"/>
      <c r="P78" s="541">
        <f>X121</f>
        <v>14457.882999999998</v>
      </c>
      <c r="Q78" s="541">
        <f>Y120</f>
        <v>82002.021609999996</v>
      </c>
      <c r="R78" s="605">
        <f>P78/(L44-V44)/10</f>
        <v>0.87365566642012171</v>
      </c>
      <c r="S78" s="542">
        <f>Q78/P78*10</f>
        <v>56.717862227824092</v>
      </c>
      <c r="T78" s="472"/>
      <c r="U78" s="472"/>
      <c r="V78" s="472"/>
      <c r="X78" s="472"/>
      <c r="Y78" s="472"/>
      <c r="Z78" s="472"/>
      <c r="AB78" s="472"/>
      <c r="AE78" s="472"/>
      <c r="AF78" s="472"/>
      <c r="AG78" s="472"/>
      <c r="AH78" s="472"/>
      <c r="AI78" s="472"/>
      <c r="AJ78" s="472"/>
      <c r="AK78" s="472"/>
      <c r="AL78" s="472"/>
      <c r="AM78" s="472"/>
      <c r="AN78" s="472"/>
      <c r="AO78" s="472"/>
    </row>
    <row r="79" spans="1:41" ht="10.5" customHeight="1" outlineLevel="1">
      <c r="A79" s="543" t="s">
        <v>17</v>
      </c>
      <c r="B79" s="2435">
        <f>B78-B77</f>
        <v>411.50346949999948</v>
      </c>
      <c r="C79" s="2436"/>
      <c r="D79" s="702">
        <f t="shared" ref="D79:S79" si="40">D78-D77</f>
        <v>0</v>
      </c>
      <c r="E79" s="702">
        <f t="shared" si="40"/>
        <v>0</v>
      </c>
      <c r="F79" s="702">
        <f t="shared" si="40"/>
        <v>0</v>
      </c>
      <c r="G79" s="702">
        <f t="shared" si="40"/>
        <v>0</v>
      </c>
      <c r="H79" s="702">
        <f t="shared" si="40"/>
        <v>-1120.0906628100001</v>
      </c>
      <c r="I79" s="702">
        <f t="shared" si="40"/>
        <v>666.48713231000011</v>
      </c>
      <c r="J79" s="2080">
        <f t="shared" si="40"/>
        <v>865.10699999999997</v>
      </c>
      <c r="K79" s="702">
        <f t="shared" si="40"/>
        <v>411.50346950000039</v>
      </c>
      <c r="L79" s="702">
        <f t="shared" si="40"/>
        <v>0</v>
      </c>
      <c r="M79" s="702">
        <f t="shared" si="40"/>
        <v>0</v>
      </c>
      <c r="N79" s="702">
        <f t="shared" si="40"/>
        <v>0</v>
      </c>
      <c r="O79" s="702">
        <f t="shared" si="40"/>
        <v>0</v>
      </c>
      <c r="P79" s="535">
        <f t="shared" si="40"/>
        <v>624.88299999999799</v>
      </c>
      <c r="Q79" s="535">
        <f t="shared" si="40"/>
        <v>-1983.7205892950005</v>
      </c>
      <c r="R79" s="535">
        <f t="shared" si="40"/>
        <v>-1.4294674143464858E-2</v>
      </c>
      <c r="S79" s="535">
        <f t="shared" si="40"/>
        <v>-3.9961854836593176</v>
      </c>
      <c r="T79" s="472"/>
      <c r="U79" s="472"/>
      <c r="V79" s="472"/>
      <c r="X79" s="472"/>
      <c r="Y79" s="472"/>
      <c r="Z79" s="472"/>
      <c r="AB79" s="472"/>
      <c r="AE79" s="472"/>
      <c r="AF79" s="472"/>
      <c r="AG79" s="472"/>
      <c r="AH79" s="472"/>
      <c r="AI79" s="472"/>
      <c r="AJ79" s="472"/>
      <c r="AK79" s="472"/>
      <c r="AL79" s="472"/>
      <c r="AM79" s="472"/>
      <c r="AN79" s="472"/>
      <c r="AO79" s="472"/>
    </row>
    <row r="80" spans="1:41" ht="6" customHeight="1">
      <c r="A80" s="476"/>
      <c r="B80" s="476"/>
      <c r="D80" s="476"/>
      <c r="E80" s="476"/>
      <c r="F80" s="476"/>
      <c r="G80" s="476"/>
      <c r="H80" s="476"/>
      <c r="I80" s="476"/>
      <c r="K80" s="476"/>
      <c r="L80" s="476"/>
      <c r="M80" s="476"/>
      <c r="N80" s="476"/>
      <c r="O80" s="476"/>
      <c r="P80" s="476"/>
      <c r="Q80" s="476"/>
      <c r="S80" s="476"/>
      <c r="U80" s="476"/>
      <c r="V80" s="476"/>
      <c r="W80" s="476"/>
      <c r="X80" s="476"/>
      <c r="Y80" s="476"/>
      <c r="Z80" s="476"/>
      <c r="AA80" s="476"/>
      <c r="AB80" s="476"/>
      <c r="AE80" s="476"/>
      <c r="AF80" s="476"/>
      <c r="AG80" s="476"/>
      <c r="AH80" s="476"/>
      <c r="AI80" s="476"/>
      <c r="AO80" s="472"/>
    </row>
    <row r="81" spans="1:32" s="476" customFormat="1" ht="10.5" customHeight="1" outlineLevel="1">
      <c r="A81" s="476" t="s">
        <v>439</v>
      </c>
      <c r="C81" s="473"/>
      <c r="J81" s="1770"/>
      <c r="R81" s="473"/>
      <c r="T81" s="473"/>
      <c r="U81" s="476" t="s">
        <v>440</v>
      </c>
      <c r="AC81" s="1770"/>
      <c r="AD81" s="1770"/>
    </row>
    <row r="82" spans="1:32" s="476" customFormat="1" ht="10.5" customHeight="1" outlineLevel="1">
      <c r="A82" s="2353" t="s">
        <v>295</v>
      </c>
      <c r="B82" s="2354"/>
      <c r="C82" s="550"/>
      <c r="D82" s="2348" t="s">
        <v>349</v>
      </c>
      <c r="E82" s="2348"/>
      <c r="F82" s="2348" t="s">
        <v>415</v>
      </c>
      <c r="G82" s="2348"/>
      <c r="H82" s="2348" t="s">
        <v>416</v>
      </c>
      <c r="I82" s="2348"/>
      <c r="J82" s="2348" t="s">
        <v>352</v>
      </c>
      <c r="K82" s="2348"/>
      <c r="L82" s="2443" t="s">
        <v>411</v>
      </c>
      <c r="M82" s="2444"/>
      <c r="N82" s="2357" t="s">
        <v>412</v>
      </c>
      <c r="O82" s="2357"/>
      <c r="P82" s="2348" t="s">
        <v>24</v>
      </c>
      <c r="Q82" s="2348"/>
      <c r="R82" s="2377" t="s">
        <v>296</v>
      </c>
      <c r="S82" s="2377" t="s">
        <v>297</v>
      </c>
      <c r="T82" s="473"/>
      <c r="U82" s="2353" t="s">
        <v>295</v>
      </c>
      <c r="V82" s="2354"/>
      <c r="W82" s="550"/>
      <c r="X82" s="2348" t="s">
        <v>294</v>
      </c>
      <c r="Y82" s="2348"/>
      <c r="Z82" s="2377" t="s">
        <v>296</v>
      </c>
      <c r="AA82" s="2377" t="s">
        <v>297</v>
      </c>
      <c r="AC82" s="1770"/>
      <c r="AD82" s="1770"/>
    </row>
    <row r="83" spans="1:32" s="476" customFormat="1" ht="10.5" customHeight="1" outlineLevel="1">
      <c r="A83" s="2355"/>
      <c r="B83" s="2356"/>
      <c r="C83" s="535" t="s">
        <v>40</v>
      </c>
      <c r="D83" s="745" t="s">
        <v>12</v>
      </c>
      <c r="E83" s="745" t="s">
        <v>39</v>
      </c>
      <c r="F83" s="745" t="s">
        <v>12</v>
      </c>
      <c r="G83" s="745" t="s">
        <v>39</v>
      </c>
      <c r="H83" s="745" t="s">
        <v>12</v>
      </c>
      <c r="I83" s="745" t="s">
        <v>39</v>
      </c>
      <c r="J83" s="2082" t="s">
        <v>12</v>
      </c>
      <c r="K83" s="745" t="s">
        <v>39</v>
      </c>
      <c r="L83" s="745" t="s">
        <v>12</v>
      </c>
      <c r="M83" s="745" t="s">
        <v>39</v>
      </c>
      <c r="N83" s="745" t="s">
        <v>12</v>
      </c>
      <c r="O83" s="745" t="s">
        <v>39</v>
      </c>
      <c r="P83" s="745" t="s">
        <v>12</v>
      </c>
      <c r="Q83" s="745" t="s">
        <v>39</v>
      </c>
      <c r="R83" s="2377"/>
      <c r="S83" s="2377"/>
      <c r="T83" s="473"/>
      <c r="U83" s="2355"/>
      <c r="V83" s="2356"/>
      <c r="W83" s="535" t="s">
        <v>40</v>
      </c>
      <c r="X83" s="745" t="s">
        <v>12</v>
      </c>
      <c r="Y83" s="745" t="s">
        <v>39</v>
      </c>
      <c r="Z83" s="2377"/>
      <c r="AA83" s="2377"/>
      <c r="AB83" s="551"/>
      <c r="AC83" s="1787"/>
      <c r="AD83" s="1787"/>
      <c r="AE83" s="551"/>
      <c r="AF83" s="551"/>
    </row>
    <row r="84" spans="1:32" s="476" customFormat="1" ht="10.5" customHeight="1" outlineLevel="1">
      <c r="A84" s="2432"/>
      <c r="B84" s="2433"/>
      <c r="C84" s="535" t="s">
        <v>289</v>
      </c>
      <c r="D84" s="536"/>
      <c r="E84" s="536"/>
      <c r="F84" s="536"/>
      <c r="G84" s="536"/>
      <c r="H84" s="535"/>
      <c r="I84" s="552"/>
      <c r="J84" s="2077"/>
      <c r="K84" s="536"/>
      <c r="L84" s="536"/>
      <c r="M84" s="536"/>
      <c r="N84" s="535"/>
      <c r="O84" s="552"/>
      <c r="P84" s="536"/>
      <c r="Q84" s="536"/>
      <c r="R84" s="2377"/>
      <c r="S84" s="2377"/>
      <c r="T84" s="473"/>
      <c r="U84" s="2432"/>
      <c r="V84" s="2433"/>
      <c r="W84" s="535" t="s">
        <v>289</v>
      </c>
      <c r="X84" s="536"/>
      <c r="Y84" s="536"/>
      <c r="Z84" s="2377"/>
      <c r="AA84" s="2377"/>
      <c r="AB84" s="551"/>
      <c r="AC84" s="1787"/>
      <c r="AD84" s="1787"/>
      <c r="AE84" s="551"/>
      <c r="AF84" s="551"/>
    </row>
    <row r="85" spans="1:32" s="551" customFormat="1" ht="9" customHeight="1" outlineLevel="1">
      <c r="A85" s="738" t="s">
        <v>282</v>
      </c>
      <c r="B85" s="739"/>
      <c r="C85" s="1252">
        <f>'[1]св-во Шув-2'!C87</f>
        <v>15600</v>
      </c>
      <c r="D85" s="937"/>
      <c r="E85" s="938">
        <f>D85*$C$85/1000</f>
        <v>0</v>
      </c>
      <c r="F85" s="937">
        <f>D56</f>
        <v>728.59201799999994</v>
      </c>
      <c r="G85" s="938">
        <f>F85*$C$85/1000</f>
        <v>11366.035480799999</v>
      </c>
      <c r="H85" s="939">
        <f>D59</f>
        <v>220.08228</v>
      </c>
      <c r="I85" s="937">
        <f>H85*$C$85/1000</f>
        <v>3433.2835679999998</v>
      </c>
      <c r="J85" s="2083"/>
      <c r="K85" s="938">
        <f>J85*$C$85/1000</f>
        <v>0</v>
      </c>
      <c r="L85" s="937"/>
      <c r="M85" s="938">
        <f>L85*$C$85/1000</f>
        <v>0</v>
      </c>
      <c r="N85" s="939"/>
      <c r="O85" s="938">
        <f>N85*$C$85/1000</f>
        <v>0</v>
      </c>
      <c r="P85" s="937">
        <f>D85+F85+H85+J85+L85+N85</f>
        <v>948.67429799999991</v>
      </c>
      <c r="Q85" s="937">
        <f>E85+G85+I85+K85+M85+O85</f>
        <v>14799.3190488</v>
      </c>
      <c r="R85" s="556">
        <v>1.05</v>
      </c>
      <c r="S85" s="595">
        <f>P85*R85*10</f>
        <v>9961.0801289999999</v>
      </c>
      <c r="T85" s="557"/>
      <c r="U85" s="738" t="s">
        <v>282</v>
      </c>
      <c r="V85" s="739"/>
      <c r="W85" s="554"/>
      <c r="X85" s="553"/>
      <c r="Y85" s="553">
        <v>0</v>
      </c>
      <c r="Z85" s="556"/>
      <c r="AA85" s="554">
        <v>0</v>
      </c>
      <c r="AC85" s="1787"/>
      <c r="AD85" s="1787"/>
    </row>
    <row r="86" spans="1:32" s="551" customFormat="1" ht="9" customHeight="1" outlineLevel="1">
      <c r="A86" s="738" t="s">
        <v>283</v>
      </c>
      <c r="B86" s="739"/>
      <c r="C86" s="1252">
        <f>'[1]св-во Шув-2'!C88</f>
        <v>22400</v>
      </c>
      <c r="D86" s="937">
        <f>E50+E53</f>
        <v>17.732700000000001</v>
      </c>
      <c r="E86" s="937">
        <f>D86*$C$86/1000</f>
        <v>397.21248000000003</v>
      </c>
      <c r="F86" s="937">
        <f>E56</f>
        <v>342.86683199999982</v>
      </c>
      <c r="G86" s="938">
        <f>F86*$C$86/1000</f>
        <v>7680.2170367999961</v>
      </c>
      <c r="H86" s="939">
        <f>E59</f>
        <v>55.020569999999999</v>
      </c>
      <c r="I86" s="937">
        <f>H86*$C$86/1000</f>
        <v>1232.4607679999999</v>
      </c>
      <c r="J86" s="2083"/>
      <c r="K86" s="938">
        <f>J86*$C$86/1000</f>
        <v>0</v>
      </c>
      <c r="L86" s="937"/>
      <c r="M86" s="938">
        <f>L86*$C$86/1000</f>
        <v>0</v>
      </c>
      <c r="N86" s="939"/>
      <c r="O86" s="938">
        <f>N86*$C$86/1000</f>
        <v>0</v>
      </c>
      <c r="P86" s="937">
        <v>110</v>
      </c>
      <c r="Q86" s="937">
        <f t="shared" ref="Q86:Q91" si="41">E86+G86+I86+K86+M86+O86</f>
        <v>9309.8902847999962</v>
      </c>
      <c r="R86" s="556">
        <v>1.07</v>
      </c>
      <c r="S86" s="595">
        <f t="shared" ref="S86:S91" si="42">P86*R86*10</f>
        <v>1177</v>
      </c>
      <c r="T86" s="557"/>
      <c r="U86" s="738" t="s">
        <v>283</v>
      </c>
      <c r="V86" s="739"/>
      <c r="W86" s="554"/>
      <c r="X86" s="558"/>
      <c r="Y86" s="553">
        <v>0</v>
      </c>
      <c r="Z86" s="556"/>
      <c r="AA86" s="554">
        <v>0</v>
      </c>
      <c r="AC86" s="1787"/>
      <c r="AD86" s="1787"/>
    </row>
    <row r="87" spans="1:32" s="551" customFormat="1" ht="9" customHeight="1" outlineLevel="1">
      <c r="A87" s="738" t="s">
        <v>432</v>
      </c>
      <c r="B87" s="739"/>
      <c r="C87" s="1252">
        <f>'[1]св-во Шув-2'!C89</f>
        <v>41600</v>
      </c>
      <c r="D87" s="937"/>
      <c r="E87" s="938">
        <f>D87*$C$87/1000</f>
        <v>0</v>
      </c>
      <c r="F87" s="937"/>
      <c r="G87" s="938">
        <f>F87*$C$87/1000</f>
        <v>0</v>
      </c>
      <c r="H87" s="939"/>
      <c r="I87" s="938">
        <f>H87*$C$87/1000</f>
        <v>0</v>
      </c>
      <c r="J87" s="2083"/>
      <c r="K87" s="938">
        <f>J87*$C$87/1000</f>
        <v>0</v>
      </c>
      <c r="L87" s="937">
        <f>F68</f>
        <v>23.337784599999999</v>
      </c>
      <c r="M87" s="937">
        <f>L87*$C$87/1000</f>
        <v>970.85183935999999</v>
      </c>
      <c r="N87" s="939">
        <f>F71</f>
        <v>41.810393632500002</v>
      </c>
      <c r="O87" s="938">
        <f>N87*$C$87/1000</f>
        <v>1739.3123751120002</v>
      </c>
      <c r="P87" s="937">
        <v>214</v>
      </c>
      <c r="Q87" s="937">
        <f t="shared" si="41"/>
        <v>2710.1642144719999</v>
      </c>
      <c r="R87" s="556">
        <v>0.94</v>
      </c>
      <c r="S87" s="595">
        <f t="shared" si="42"/>
        <v>2011.6</v>
      </c>
      <c r="T87" s="557"/>
      <c r="U87" s="738"/>
      <c r="V87" s="739"/>
      <c r="W87" s="554"/>
      <c r="X87" s="558"/>
      <c r="Y87" s="553"/>
      <c r="Z87" s="556"/>
      <c r="AA87" s="554"/>
      <c r="AC87" s="1787"/>
      <c r="AD87" s="1787"/>
    </row>
    <row r="88" spans="1:32" s="551" customFormat="1" ht="9" customHeight="1" outlineLevel="1">
      <c r="A88" s="738" t="s">
        <v>284</v>
      </c>
      <c r="B88" s="739"/>
      <c r="C88" s="1252">
        <f>'[1]св-во Шув-2'!C90</f>
        <v>27400</v>
      </c>
      <c r="D88" s="937"/>
      <c r="E88" s="938">
        <f>D88*$C$88/1000</f>
        <v>0</v>
      </c>
      <c r="F88" s="937"/>
      <c r="G88" s="938">
        <f>F88*$C$88/1000</f>
        <v>0</v>
      </c>
      <c r="H88" s="939"/>
      <c r="I88" s="938">
        <f>H88*$C$88/1000</f>
        <v>0</v>
      </c>
      <c r="J88" s="2083"/>
      <c r="K88" s="938">
        <f>J88*$C$88/1000</f>
        <v>0</v>
      </c>
      <c r="L88" s="937"/>
      <c r="M88" s="938">
        <f>L88*$C$88/1000</f>
        <v>0</v>
      </c>
      <c r="N88" s="939">
        <f>G71</f>
        <v>515.66152146750005</v>
      </c>
      <c r="O88" s="938">
        <f>N88*$C$88/1000</f>
        <v>14129.125688209502</v>
      </c>
      <c r="P88" s="937">
        <v>127</v>
      </c>
      <c r="Q88" s="937">
        <f t="shared" si="41"/>
        <v>14129.125688209502</v>
      </c>
      <c r="R88" s="556">
        <v>0.96</v>
      </c>
      <c r="S88" s="595">
        <f t="shared" si="42"/>
        <v>1219.2</v>
      </c>
      <c r="T88" s="557"/>
      <c r="U88" s="738" t="s">
        <v>284</v>
      </c>
      <c r="V88" s="739"/>
      <c r="W88" s="554"/>
      <c r="X88" s="553"/>
      <c r="Y88" s="553">
        <v>0</v>
      </c>
      <c r="Z88" s="556"/>
      <c r="AA88" s="554">
        <v>0</v>
      </c>
      <c r="AC88" s="1787"/>
      <c r="AD88" s="1787"/>
    </row>
    <row r="89" spans="1:32" s="551" customFormat="1" ht="9" customHeight="1" outlineLevel="1">
      <c r="A89" s="738" t="s">
        <v>285</v>
      </c>
      <c r="B89" s="739"/>
      <c r="C89" s="1252">
        <f>'[1]св-во Шув-2'!C91</f>
        <v>19800</v>
      </c>
      <c r="D89" s="937"/>
      <c r="E89" s="938">
        <f>D89*$C$89/1000</f>
        <v>0</v>
      </c>
      <c r="F89" s="937"/>
      <c r="G89" s="938">
        <f>F89*$C$89/1000</f>
        <v>0</v>
      </c>
      <c r="H89" s="939"/>
      <c r="I89" s="938">
        <f>H89*$C$89/1000</f>
        <v>0</v>
      </c>
      <c r="J89" s="2083">
        <f>H62</f>
        <v>165.32586000000003</v>
      </c>
      <c r="K89" s="938">
        <f>J89*$C$89/1000</f>
        <v>3273.4520280000011</v>
      </c>
      <c r="L89" s="937"/>
      <c r="M89" s="938">
        <f>L89*$C$89/1000</f>
        <v>0</v>
      </c>
      <c r="N89" s="939">
        <f>H71</f>
        <v>836.2078726499999</v>
      </c>
      <c r="O89" s="938">
        <f>N89*$C$89/1000</f>
        <v>16556.915878469998</v>
      </c>
      <c r="P89" s="937">
        <v>90</v>
      </c>
      <c r="Q89" s="937">
        <f t="shared" si="41"/>
        <v>19830.367906469997</v>
      </c>
      <c r="R89" s="556">
        <v>1.1100000000000001</v>
      </c>
      <c r="S89" s="595">
        <f t="shared" si="42"/>
        <v>999</v>
      </c>
      <c r="T89" s="557"/>
      <c r="U89" s="738" t="s">
        <v>285</v>
      </c>
      <c r="V89" s="739"/>
      <c r="W89" s="944">
        <f>C89</f>
        <v>19800</v>
      </c>
      <c r="X89" s="553">
        <f>AH43*42%</f>
        <v>2052.0076628100001</v>
      </c>
      <c r="Y89" s="595">
        <f>X89*W89/1000</f>
        <v>40629.751723638001</v>
      </c>
      <c r="Z89" s="556">
        <v>1.1100000000000001</v>
      </c>
      <c r="AA89" s="595">
        <f>X89*Z89*10</f>
        <v>22777.285057191002</v>
      </c>
      <c r="AC89" s="1787"/>
      <c r="AD89" s="1787"/>
    </row>
    <row r="90" spans="1:32" s="551" customFormat="1" ht="9" customHeight="1" outlineLevel="1">
      <c r="A90" s="738" t="s">
        <v>286</v>
      </c>
      <c r="B90" s="739"/>
      <c r="C90" s="1252">
        <f>'[1]св-во Шув-2'!C92</f>
        <v>15300</v>
      </c>
      <c r="D90" s="937"/>
      <c r="E90" s="938">
        <f>D90*$C$90/1000</f>
        <v>0</v>
      </c>
      <c r="F90" s="937"/>
      <c r="G90" s="938">
        <f>F90*$C$90/1000</f>
        <v>0</v>
      </c>
      <c r="H90" s="939"/>
      <c r="I90" s="938">
        <f>H90*$C$90/1000</f>
        <v>0</v>
      </c>
      <c r="J90" s="2083"/>
      <c r="K90" s="938">
        <f>J90*$C$90/1000</f>
        <v>0</v>
      </c>
      <c r="L90" s="937"/>
      <c r="M90" s="938">
        <f>L90*$C$90/1000</f>
        <v>0</v>
      </c>
      <c r="N90" s="939"/>
      <c r="O90" s="938">
        <f>N90*$C$90/1000</f>
        <v>0</v>
      </c>
      <c r="P90" s="937">
        <v>0</v>
      </c>
      <c r="Q90" s="937">
        <f t="shared" si="41"/>
        <v>0</v>
      </c>
      <c r="R90" s="556"/>
      <c r="S90" s="595">
        <f t="shared" si="42"/>
        <v>0</v>
      </c>
      <c r="T90" s="557"/>
      <c r="U90" s="738" t="s">
        <v>286</v>
      </c>
      <c r="V90" s="739"/>
      <c r="W90" s="944">
        <f>C90</f>
        <v>15300</v>
      </c>
      <c r="X90" s="553">
        <f>AH43*58%</f>
        <v>2833.7248676899999</v>
      </c>
      <c r="Y90" s="595">
        <f>X90*W90/1000</f>
        <v>43355.990475657003</v>
      </c>
      <c r="Z90" s="556">
        <v>1.1100000000000001</v>
      </c>
      <c r="AA90" s="595">
        <f t="shared" ref="AA90" si="43">X90*Z90*10</f>
        <v>31454.346031359</v>
      </c>
      <c r="AB90" s="480"/>
      <c r="AC90" s="1771"/>
      <c r="AD90" s="1771"/>
      <c r="AE90" s="480"/>
      <c r="AF90" s="480"/>
    </row>
    <row r="91" spans="1:32" s="551" customFormat="1" ht="9" customHeight="1" outlineLevel="1">
      <c r="A91" s="738" t="s">
        <v>512</v>
      </c>
      <c r="B91" s="739"/>
      <c r="C91" s="1252">
        <f>'[1]св-во Шув-2'!C93</f>
        <v>0</v>
      </c>
      <c r="D91" s="937"/>
      <c r="E91" s="938">
        <f>D91*$C$91/1000</f>
        <v>0</v>
      </c>
      <c r="F91" s="937"/>
      <c r="G91" s="938">
        <f>F91*$C$91/1000</f>
        <v>0</v>
      </c>
      <c r="H91" s="939"/>
      <c r="I91" s="938">
        <f>H91*$C$91/1000</f>
        <v>0</v>
      </c>
      <c r="J91" s="2083">
        <f>J62+J65</f>
        <v>0</v>
      </c>
      <c r="K91" s="938">
        <f>J91*$C$91/1000</f>
        <v>0</v>
      </c>
      <c r="L91" s="937"/>
      <c r="M91" s="938">
        <f>L91*$C$91/1000</f>
        <v>0</v>
      </c>
      <c r="N91" s="939"/>
      <c r="O91" s="938">
        <f>N91*$C$91/1000</f>
        <v>0</v>
      </c>
      <c r="P91" s="937">
        <v>26</v>
      </c>
      <c r="Q91" s="937">
        <f t="shared" si="41"/>
        <v>0</v>
      </c>
      <c r="R91" s="556">
        <v>2</v>
      </c>
      <c r="S91" s="595">
        <f t="shared" si="42"/>
        <v>520</v>
      </c>
      <c r="T91" s="557"/>
      <c r="U91" s="738" t="s">
        <v>287</v>
      </c>
      <c r="V91" s="739"/>
      <c r="W91" s="554"/>
      <c r="X91" s="553">
        <v>0</v>
      </c>
      <c r="Y91" s="553">
        <v>0</v>
      </c>
      <c r="Z91" s="556"/>
      <c r="AA91" s="554">
        <v>0</v>
      </c>
      <c r="AB91" s="559"/>
      <c r="AC91" s="1788"/>
      <c r="AD91" s="1788"/>
      <c r="AE91" s="559"/>
      <c r="AF91" s="559"/>
    </row>
    <row r="92" spans="1:32" s="480" customFormat="1" ht="10.5" customHeight="1" outlineLevel="1">
      <c r="A92" s="736" t="s">
        <v>298</v>
      </c>
      <c r="B92" s="737"/>
      <c r="C92" s="554">
        <v>18342</v>
      </c>
      <c r="D92" s="940">
        <f>SUM(D85:D91)</f>
        <v>17.732700000000001</v>
      </c>
      <c r="E92" s="940">
        <f t="shared" ref="E92:Q92" si="44">SUM(E85:E91)</f>
        <v>397.21248000000003</v>
      </c>
      <c r="F92" s="940">
        <f t="shared" si="44"/>
        <v>1071.4588499999998</v>
      </c>
      <c r="G92" s="940">
        <f t="shared" si="44"/>
        <v>19046.252517599994</v>
      </c>
      <c r="H92" s="940">
        <f t="shared" si="44"/>
        <v>275.10284999999999</v>
      </c>
      <c r="I92" s="940">
        <f t="shared" si="44"/>
        <v>4665.7443359999997</v>
      </c>
      <c r="J92" s="2084">
        <f t="shared" si="44"/>
        <v>165.32586000000003</v>
      </c>
      <c r="K92" s="940">
        <f t="shared" si="44"/>
        <v>3273.4520280000011</v>
      </c>
      <c r="L92" s="940">
        <f t="shared" si="44"/>
        <v>23.337784599999999</v>
      </c>
      <c r="M92" s="940">
        <f t="shared" si="44"/>
        <v>970.85183935999999</v>
      </c>
      <c r="N92" s="940">
        <f t="shared" si="44"/>
        <v>1393.6797877499998</v>
      </c>
      <c r="O92" s="940">
        <f t="shared" si="44"/>
        <v>32425.353941791502</v>
      </c>
      <c r="P92" s="940">
        <f t="shared" si="44"/>
        <v>1515.6742979999999</v>
      </c>
      <c r="Q92" s="940">
        <f t="shared" si="44"/>
        <v>60778.867142751493</v>
      </c>
      <c r="R92" s="561"/>
      <c r="S92" s="554"/>
      <c r="T92" s="477"/>
      <c r="U92" s="736" t="s">
        <v>298</v>
      </c>
      <c r="V92" s="737"/>
      <c r="W92" s="554"/>
      <c r="X92" s="549">
        <f>SUM(X89:X91)</f>
        <v>4885.7325304999995</v>
      </c>
      <c r="Y92" s="549">
        <f>SUM(Y88:Y91)</f>
        <v>83985.742199294997</v>
      </c>
      <c r="Z92" s="561"/>
      <c r="AA92" s="554"/>
      <c r="AB92" s="559"/>
      <c r="AC92" s="1788"/>
      <c r="AD92" s="1788"/>
      <c r="AE92" s="559"/>
      <c r="AF92" s="559"/>
    </row>
    <row r="93" spans="1:32" s="559" customFormat="1" ht="9" customHeight="1" outlineLevel="1">
      <c r="A93" s="734" t="s">
        <v>299</v>
      </c>
      <c r="B93" s="735"/>
      <c r="C93" s="554"/>
      <c r="D93" s="937"/>
      <c r="E93" s="938">
        <v>0</v>
      </c>
      <c r="F93" s="937"/>
      <c r="G93" s="938">
        <v>0</v>
      </c>
      <c r="H93" s="939"/>
      <c r="I93" s="938">
        <v>0</v>
      </c>
      <c r="J93" s="2083"/>
      <c r="K93" s="938">
        <v>0</v>
      </c>
      <c r="L93" s="941">
        <v>0</v>
      </c>
      <c r="M93" s="938">
        <v>0</v>
      </c>
      <c r="N93" s="942">
        <v>0</v>
      </c>
      <c r="O93" s="938">
        <v>0</v>
      </c>
      <c r="P93" s="937">
        <v>0</v>
      </c>
      <c r="Q93" s="937">
        <v>0</v>
      </c>
      <c r="R93" s="556"/>
      <c r="S93" s="595">
        <v>0</v>
      </c>
      <c r="T93" s="565"/>
      <c r="U93" s="734" t="s">
        <v>299</v>
      </c>
      <c r="V93" s="735"/>
      <c r="W93" s="554"/>
      <c r="X93" s="553">
        <v>0</v>
      </c>
      <c r="Y93" s="553">
        <v>0</v>
      </c>
      <c r="Z93" s="564">
        <v>1.34</v>
      </c>
      <c r="AA93" s="554">
        <v>0</v>
      </c>
      <c r="AB93" s="480"/>
      <c r="AC93" s="1771"/>
      <c r="AD93" s="1771"/>
      <c r="AE93" s="480"/>
      <c r="AF93" s="480"/>
    </row>
    <row r="94" spans="1:32" s="559" customFormat="1" ht="9" customHeight="1" outlineLevel="1">
      <c r="A94" s="734" t="s">
        <v>324</v>
      </c>
      <c r="B94" s="735"/>
      <c r="C94" s="1252">
        <f>'[1]св-во Шув-2'!C96</f>
        <v>150000</v>
      </c>
      <c r="D94" s="937">
        <v>0</v>
      </c>
      <c r="E94" s="938">
        <v>0.25600000000000001</v>
      </c>
      <c r="F94" s="937"/>
      <c r="G94" s="938">
        <v>0</v>
      </c>
      <c r="H94" s="939"/>
      <c r="I94" s="938">
        <v>0</v>
      </c>
      <c r="J94" s="2083">
        <v>0</v>
      </c>
      <c r="K94" s="938">
        <v>0</v>
      </c>
      <c r="L94" s="937"/>
      <c r="M94" s="938">
        <v>0</v>
      </c>
      <c r="N94" s="939"/>
      <c r="O94" s="938">
        <v>0</v>
      </c>
      <c r="P94" s="937">
        <v>0</v>
      </c>
      <c r="Q94" s="937">
        <v>0</v>
      </c>
      <c r="R94" s="556">
        <v>0.14000000000000001</v>
      </c>
      <c r="S94" s="595">
        <v>0</v>
      </c>
      <c r="T94" s="565"/>
      <c r="U94" s="734" t="s">
        <v>324</v>
      </c>
      <c r="V94" s="735"/>
      <c r="W94" s="554"/>
      <c r="X94" s="566">
        <v>0</v>
      </c>
      <c r="Y94" s="558">
        <v>0</v>
      </c>
      <c r="Z94" s="564">
        <v>0.14000000000000001</v>
      </c>
      <c r="AA94" s="554">
        <v>0</v>
      </c>
      <c r="AB94" s="480"/>
      <c r="AC94" s="1771"/>
      <c r="AD94" s="1771"/>
      <c r="AE94" s="480"/>
      <c r="AF94" s="480"/>
    </row>
    <row r="95" spans="1:32" s="559" customFormat="1" ht="9" customHeight="1" outlineLevel="1">
      <c r="A95" s="734" t="s">
        <v>325</v>
      </c>
      <c r="B95" s="735"/>
      <c r="C95" s="1252">
        <f>'[1]св-во Шув-2'!C97</f>
        <v>137000</v>
      </c>
      <c r="D95" s="937">
        <v>0</v>
      </c>
      <c r="E95" s="938">
        <v>0</v>
      </c>
      <c r="F95" s="937"/>
      <c r="G95" s="938">
        <v>0</v>
      </c>
      <c r="H95" s="939"/>
      <c r="I95" s="938">
        <v>0</v>
      </c>
      <c r="J95" s="2083">
        <v>0</v>
      </c>
      <c r="K95" s="938">
        <v>0</v>
      </c>
      <c r="L95" s="937">
        <f>N68</f>
        <v>1.3499999999999999</v>
      </c>
      <c r="M95" s="938">
        <f>L95*$C$95/1000</f>
        <v>184.94999999999996</v>
      </c>
      <c r="N95" s="939"/>
      <c r="O95" s="938">
        <v>0</v>
      </c>
      <c r="P95" s="937">
        <v>0</v>
      </c>
      <c r="Q95" s="937">
        <v>37</v>
      </c>
      <c r="R95" s="556">
        <v>0.34</v>
      </c>
      <c r="S95" s="595">
        <v>2</v>
      </c>
      <c r="T95" s="565"/>
      <c r="U95" s="734" t="s">
        <v>325</v>
      </c>
      <c r="V95" s="735"/>
      <c r="W95" s="554"/>
      <c r="X95" s="566">
        <v>0</v>
      </c>
      <c r="Y95" s="558">
        <v>0</v>
      </c>
      <c r="Z95" s="564">
        <v>0.34</v>
      </c>
      <c r="AA95" s="554">
        <v>0</v>
      </c>
      <c r="AB95" s="480"/>
      <c r="AC95" s="1771"/>
      <c r="AD95" s="1771"/>
      <c r="AE95" s="480"/>
      <c r="AF95" s="480"/>
    </row>
    <row r="96" spans="1:32" s="559" customFormat="1" ht="9" customHeight="1" outlineLevel="1">
      <c r="A96" s="734" t="s">
        <v>326</v>
      </c>
      <c r="B96" s="735"/>
      <c r="C96" s="1252">
        <f>'[1]св-во Шув-2'!C98</f>
        <v>50000</v>
      </c>
      <c r="D96" s="937">
        <v>0</v>
      </c>
      <c r="E96" s="938">
        <v>0</v>
      </c>
      <c r="F96" s="937"/>
      <c r="G96" s="938">
        <v>0</v>
      </c>
      <c r="H96" s="939"/>
      <c r="I96" s="938">
        <v>0</v>
      </c>
      <c r="J96" s="2083">
        <v>0</v>
      </c>
      <c r="K96" s="938">
        <v>0</v>
      </c>
      <c r="L96" s="937"/>
      <c r="M96" s="938">
        <v>0</v>
      </c>
      <c r="N96" s="939"/>
      <c r="O96" s="938">
        <v>0</v>
      </c>
      <c r="P96" s="937">
        <v>0</v>
      </c>
      <c r="Q96" s="937">
        <v>0</v>
      </c>
      <c r="R96" s="556"/>
      <c r="S96" s="595">
        <v>0</v>
      </c>
      <c r="T96" s="565"/>
      <c r="U96" s="734" t="s">
        <v>326</v>
      </c>
      <c r="V96" s="735"/>
      <c r="W96" s="554"/>
      <c r="X96" s="566">
        <v>0</v>
      </c>
      <c r="Y96" s="558">
        <v>0</v>
      </c>
      <c r="Z96" s="564">
        <v>0.64</v>
      </c>
      <c r="AA96" s="554">
        <v>0</v>
      </c>
      <c r="AB96" s="480"/>
      <c r="AC96" s="1771"/>
      <c r="AD96" s="1771"/>
      <c r="AE96" s="480"/>
      <c r="AF96" s="480"/>
    </row>
    <row r="97" spans="1:37" s="559" customFormat="1" ht="10.5" customHeight="1" outlineLevel="1">
      <c r="A97" s="734" t="s">
        <v>300</v>
      </c>
      <c r="B97" s="735"/>
      <c r="C97" s="567"/>
      <c r="D97" s="941">
        <v>0</v>
      </c>
      <c r="E97" s="941">
        <v>0.3</v>
      </c>
      <c r="F97" s="941">
        <v>0</v>
      </c>
      <c r="G97" s="941">
        <v>0</v>
      </c>
      <c r="H97" s="941">
        <v>0</v>
      </c>
      <c r="I97" s="941">
        <v>0</v>
      </c>
      <c r="J97" s="2085">
        <v>0</v>
      </c>
      <c r="K97" s="941">
        <v>0</v>
      </c>
      <c r="L97" s="941">
        <v>0.5</v>
      </c>
      <c r="M97" s="941">
        <v>37.200000000000003</v>
      </c>
      <c r="N97" s="941">
        <v>0</v>
      </c>
      <c r="O97" s="941">
        <v>0</v>
      </c>
      <c r="P97" s="941">
        <v>0.5</v>
      </c>
      <c r="Q97" s="941">
        <v>37.5</v>
      </c>
      <c r="R97" s="564"/>
      <c r="S97" s="554">
        <v>0</v>
      </c>
      <c r="T97" s="565"/>
      <c r="U97" s="734" t="s">
        <v>300</v>
      </c>
      <c r="V97" s="735"/>
      <c r="W97" s="567"/>
      <c r="X97" s="568">
        <v>0</v>
      </c>
      <c r="Y97" s="568">
        <v>0</v>
      </c>
      <c r="Z97" s="564"/>
      <c r="AA97" s="554">
        <v>0</v>
      </c>
      <c r="AB97" s="480"/>
      <c r="AC97" s="1771"/>
      <c r="AD97" s="1771"/>
      <c r="AE97" s="480"/>
      <c r="AF97" s="480"/>
    </row>
    <row r="98" spans="1:37" s="480" customFormat="1" ht="10.5" customHeight="1" outlineLevel="1">
      <c r="A98" s="733" t="s">
        <v>302</v>
      </c>
      <c r="B98" s="733"/>
      <c r="C98" s="563"/>
      <c r="D98" s="943">
        <f>D92+D93+D94+D95+D96+D97</f>
        <v>17.732700000000001</v>
      </c>
      <c r="E98" s="943">
        <v>63.72</v>
      </c>
      <c r="F98" s="943">
        <v>305.61</v>
      </c>
      <c r="G98" s="943">
        <v>3931.42</v>
      </c>
      <c r="H98" s="943">
        <v>36.22</v>
      </c>
      <c r="I98" s="943">
        <v>450.53</v>
      </c>
      <c r="J98" s="2086">
        <v>66.680000000000007</v>
      </c>
      <c r="K98" s="943">
        <v>927.82</v>
      </c>
      <c r="L98" s="943">
        <v>5.66</v>
      </c>
      <c r="M98" s="943">
        <v>181.7</v>
      </c>
      <c r="N98" s="943">
        <v>385.89</v>
      </c>
      <c r="O98" s="943">
        <v>9225.24</v>
      </c>
      <c r="P98" s="943">
        <v>804.22</v>
      </c>
      <c r="Q98" s="943">
        <v>14780.43</v>
      </c>
      <c r="R98" s="563"/>
      <c r="S98" s="563">
        <v>8415</v>
      </c>
      <c r="T98" s="477"/>
      <c r="U98" s="733" t="s">
        <v>302</v>
      </c>
      <c r="V98" s="733"/>
      <c r="W98" s="563"/>
      <c r="X98" s="576">
        <v>1246.23</v>
      </c>
      <c r="Y98" s="576">
        <f>Y92+SUM(Y93:Y97)</f>
        <v>83985.742199294997</v>
      </c>
      <c r="Z98" s="563"/>
      <c r="AA98" s="563">
        <v>13833</v>
      </c>
      <c r="AB98" s="475"/>
      <c r="AC98" s="1770"/>
      <c r="AD98" s="1770"/>
      <c r="AE98" s="474"/>
      <c r="AF98" s="472"/>
    </row>
    <row r="99" spans="1:37" s="480" customFormat="1" ht="10.5" customHeight="1" outlineLevel="1">
      <c r="A99" s="588"/>
      <c r="B99" s="588"/>
      <c r="C99" s="589"/>
      <c r="D99" s="590"/>
      <c r="E99" s="590"/>
      <c r="F99" s="590"/>
      <c r="G99" s="590"/>
      <c r="H99" s="590"/>
      <c r="I99" s="590"/>
      <c r="J99" s="2087"/>
      <c r="K99" s="590"/>
      <c r="L99" s="590"/>
      <c r="M99" s="590"/>
      <c r="N99" s="590"/>
      <c r="O99" s="590"/>
      <c r="P99" s="590"/>
      <c r="Q99" s="590"/>
      <c r="R99" s="589"/>
      <c r="S99" s="589"/>
      <c r="T99" s="477"/>
      <c r="U99" s="588"/>
      <c r="V99" s="588"/>
      <c r="W99" s="589"/>
      <c r="X99" s="590"/>
      <c r="Y99" s="590"/>
      <c r="Z99" s="589"/>
      <c r="AA99" s="589"/>
      <c r="AB99" s="475"/>
      <c r="AC99" s="1770"/>
      <c r="AD99" s="1770"/>
      <c r="AE99" s="474"/>
      <c r="AF99" s="472"/>
    </row>
    <row r="100" spans="1:37" s="480" customFormat="1" ht="10.5" customHeight="1" outlineLevel="1">
      <c r="A100" s="744" t="s">
        <v>431</v>
      </c>
      <c r="B100" s="744"/>
      <c r="C100" s="563"/>
      <c r="D100" s="608">
        <v>44.494999999999997</v>
      </c>
      <c r="E100" s="576">
        <v>14.32</v>
      </c>
      <c r="F100" s="608">
        <v>3228.4960000000001</v>
      </c>
      <c r="G100" s="576">
        <v>12.18</v>
      </c>
      <c r="H100" s="608">
        <v>381.80200000000002</v>
      </c>
      <c r="I100" s="576">
        <v>11.8</v>
      </c>
      <c r="J100" s="2079">
        <v>972.11300000000006</v>
      </c>
      <c r="K100" s="576">
        <v>9.5399999999999991</v>
      </c>
      <c r="L100" s="608">
        <v>50.482999999999997</v>
      </c>
      <c r="M100" s="576">
        <v>35.99</v>
      </c>
      <c r="N100" s="608">
        <v>3738.076</v>
      </c>
      <c r="O100" s="576">
        <v>24.68</v>
      </c>
      <c r="P100" s="576">
        <v>8415.4599999999991</v>
      </c>
      <c r="Q100" s="576">
        <v>17.559999999999999</v>
      </c>
      <c r="R100" s="563"/>
      <c r="S100" s="563"/>
      <c r="T100" s="477"/>
      <c r="U100" s="744" t="s">
        <v>431</v>
      </c>
      <c r="V100" s="744"/>
      <c r="W100" s="563"/>
      <c r="X100" s="595">
        <v>13833</v>
      </c>
      <c r="Y100" s="576">
        <v>12.4</v>
      </c>
      <c r="Z100" s="563"/>
      <c r="AA100" s="563"/>
      <c r="AB100" s="475"/>
      <c r="AC100" s="1770"/>
      <c r="AD100" s="1770"/>
      <c r="AE100" s="474"/>
      <c r="AF100" s="472"/>
    </row>
    <row r="101" spans="1:37" ht="3.75" customHeight="1"/>
    <row r="102" spans="1:37" s="586" customFormat="1" ht="10.5" customHeight="1" outlineLevel="1">
      <c r="A102" s="476" t="s">
        <v>441</v>
      </c>
      <c r="B102" s="476"/>
      <c r="C102" s="473"/>
      <c r="D102" s="476"/>
      <c r="E102" s="476"/>
      <c r="F102" s="476"/>
      <c r="G102" s="476"/>
      <c r="H102" s="476"/>
      <c r="I102" s="476"/>
      <c r="J102" s="1770"/>
      <c r="K102" s="476"/>
      <c r="L102" s="476"/>
      <c r="M102" s="476"/>
      <c r="N102" s="476"/>
      <c r="O102" s="476"/>
      <c r="P102" s="476"/>
      <c r="Q102" s="476"/>
      <c r="R102" s="473"/>
      <c r="S102" s="476"/>
      <c r="T102" s="473"/>
      <c r="U102" s="476" t="s">
        <v>641</v>
      </c>
      <c r="V102" s="476"/>
      <c r="W102" s="476"/>
      <c r="X102" s="476"/>
      <c r="Y102" s="476"/>
      <c r="Z102" s="580"/>
      <c r="AA102" s="581"/>
      <c r="AB102" s="582"/>
      <c r="AC102" s="1783"/>
      <c r="AD102" s="1783"/>
      <c r="AE102" s="583"/>
      <c r="AF102" s="584"/>
      <c r="AG102" s="585"/>
      <c r="AH102" s="585"/>
      <c r="AI102" s="585"/>
      <c r="AJ102" s="585"/>
      <c r="AK102" s="585"/>
    </row>
    <row r="103" spans="1:37" s="586" customFormat="1" ht="10.5" customHeight="1" outlineLevel="1">
      <c r="A103" s="476"/>
      <c r="B103" s="476"/>
      <c r="C103" s="473"/>
      <c r="D103" s="476"/>
      <c r="E103" s="476"/>
      <c r="F103" s="476"/>
      <c r="G103" s="476"/>
      <c r="H103" s="476"/>
      <c r="I103" s="476"/>
      <c r="J103" s="1770"/>
      <c r="K103" s="476"/>
      <c r="L103" s="476"/>
      <c r="M103" s="476"/>
      <c r="N103" s="476"/>
      <c r="O103" s="476"/>
      <c r="P103" s="476"/>
      <c r="Q103" s="476"/>
      <c r="R103" s="473"/>
      <c r="S103" s="476"/>
      <c r="T103" s="473"/>
      <c r="U103" s="476"/>
      <c r="V103" s="476"/>
      <c r="W103" s="476"/>
      <c r="X103" s="476"/>
      <c r="Y103" s="476"/>
      <c r="Z103" s="580"/>
      <c r="AA103" s="581"/>
      <c r="AB103" s="582"/>
      <c r="AC103" s="1783"/>
      <c r="AD103" s="1783"/>
      <c r="AE103" s="583"/>
      <c r="AF103" s="584"/>
      <c r="AG103" s="585"/>
      <c r="AH103" s="585"/>
      <c r="AI103" s="585"/>
      <c r="AJ103" s="585"/>
      <c r="AK103" s="585"/>
    </row>
    <row r="104" spans="1:37" s="586" customFormat="1" ht="10.5" customHeight="1" outlineLevel="1">
      <c r="A104" s="2353" t="s">
        <v>295</v>
      </c>
      <c r="B104" s="2354"/>
      <c r="C104" s="550"/>
      <c r="D104" s="2348" t="s">
        <v>349</v>
      </c>
      <c r="E104" s="2348"/>
      <c r="F104" s="2348" t="s">
        <v>415</v>
      </c>
      <c r="G104" s="2348"/>
      <c r="H104" s="2348" t="s">
        <v>416</v>
      </c>
      <c r="I104" s="2348"/>
      <c r="J104" s="2348" t="s">
        <v>352</v>
      </c>
      <c r="K104" s="2348"/>
      <c r="L104" s="2443" t="s">
        <v>411</v>
      </c>
      <c r="M104" s="2444"/>
      <c r="N104" s="2357" t="s">
        <v>412</v>
      </c>
      <c r="O104" s="2357"/>
      <c r="P104" s="2348" t="s">
        <v>24</v>
      </c>
      <c r="Q104" s="2348"/>
      <c r="R104" s="2377" t="s">
        <v>296</v>
      </c>
      <c r="S104" s="2377" t="s">
        <v>297</v>
      </c>
      <c r="T104" s="580"/>
      <c r="U104" s="2353" t="s">
        <v>295</v>
      </c>
      <c r="V104" s="2354"/>
      <c r="W104" s="550"/>
      <c r="X104" s="2348" t="s">
        <v>294</v>
      </c>
      <c r="Y104" s="2348"/>
      <c r="Z104" s="2377" t="s">
        <v>296</v>
      </c>
      <c r="AA104" s="2377" t="s">
        <v>297</v>
      </c>
      <c r="AB104" s="585"/>
      <c r="AC104" s="1783"/>
      <c r="AD104" s="1783"/>
      <c r="AE104" s="585"/>
    </row>
    <row r="105" spans="1:37" s="586" customFormat="1" ht="10.5" customHeight="1" outlineLevel="1">
      <c r="A105" s="2355"/>
      <c r="B105" s="2356"/>
      <c r="C105" s="535" t="s">
        <v>40</v>
      </c>
      <c r="D105" s="903" t="s">
        <v>12</v>
      </c>
      <c r="E105" s="903" t="s">
        <v>39</v>
      </c>
      <c r="F105" s="903" t="s">
        <v>12</v>
      </c>
      <c r="G105" s="903" t="s">
        <v>39</v>
      </c>
      <c r="H105" s="903" t="s">
        <v>12</v>
      </c>
      <c r="I105" s="903" t="s">
        <v>39</v>
      </c>
      <c r="J105" s="2082" t="s">
        <v>12</v>
      </c>
      <c r="K105" s="903" t="s">
        <v>39</v>
      </c>
      <c r="L105" s="903" t="s">
        <v>12</v>
      </c>
      <c r="M105" s="903" t="s">
        <v>39</v>
      </c>
      <c r="N105" s="903" t="s">
        <v>12</v>
      </c>
      <c r="O105" s="903" t="s">
        <v>39</v>
      </c>
      <c r="P105" s="903" t="s">
        <v>12</v>
      </c>
      <c r="Q105" s="903" t="s">
        <v>39</v>
      </c>
      <c r="R105" s="2377"/>
      <c r="S105" s="2377"/>
      <c r="T105" s="580"/>
      <c r="U105" s="2355"/>
      <c r="V105" s="2356"/>
      <c r="W105" s="535" t="s">
        <v>40</v>
      </c>
      <c r="X105" s="903" t="s">
        <v>12</v>
      </c>
      <c r="Y105" s="903" t="s">
        <v>39</v>
      </c>
      <c r="Z105" s="2377"/>
      <c r="AA105" s="2377"/>
      <c r="AB105" s="585"/>
      <c r="AC105" s="1783"/>
      <c r="AD105" s="1783"/>
      <c r="AE105" s="585"/>
    </row>
    <row r="106" spans="1:37" s="586" customFormat="1" ht="9" customHeight="1" outlineLevel="1">
      <c r="A106" s="2432"/>
      <c r="B106" s="2433"/>
      <c r="C106" s="535" t="s">
        <v>289</v>
      </c>
      <c r="D106" s="1608"/>
      <c r="E106" s="536"/>
      <c r="F106" s="1608"/>
      <c r="G106" s="536"/>
      <c r="H106" s="1608"/>
      <c r="I106" s="552"/>
      <c r="J106" s="2077"/>
      <c r="K106" s="536"/>
      <c r="L106" s="1608"/>
      <c r="M106" s="536"/>
      <c r="N106" s="1608"/>
      <c r="O106" s="552"/>
      <c r="P106" s="536"/>
      <c r="Q106" s="536"/>
      <c r="R106" s="2377"/>
      <c r="S106" s="2377"/>
      <c r="T106" s="580"/>
      <c r="U106" s="2432"/>
      <c r="V106" s="2433"/>
      <c r="W106" s="535" t="s">
        <v>289</v>
      </c>
      <c r="X106" s="536"/>
      <c r="Y106" s="536"/>
      <c r="Z106" s="2377"/>
      <c r="AA106" s="2377"/>
      <c r="AB106" s="585"/>
      <c r="AC106" s="1783"/>
      <c r="AD106" s="1783"/>
      <c r="AE106" s="585"/>
    </row>
    <row r="107" spans="1:37" s="586" customFormat="1" ht="9" customHeight="1" outlineLevel="1">
      <c r="A107" s="2358" t="s">
        <v>282</v>
      </c>
      <c r="B107" s="2359"/>
      <c r="C107" s="554">
        <f>Q107/P107*1000</f>
        <v>15393.501659443913</v>
      </c>
      <c r="D107" s="587">
        <f>D51</f>
        <v>1.0980000000000001</v>
      </c>
      <c r="E107" s="2174">
        <v>16.439720000000001</v>
      </c>
      <c r="F107" s="587">
        <f>D57</f>
        <v>657.26700000000005</v>
      </c>
      <c r="G107" s="2167">
        <v>10128.24569</v>
      </c>
      <c r="H107" s="587">
        <f>D60</f>
        <v>175.84</v>
      </c>
      <c r="I107" s="2167">
        <v>2705.7596400000002</v>
      </c>
      <c r="J107" s="2083">
        <f>D54+D63+D66</f>
        <v>218.256</v>
      </c>
      <c r="K107" s="2167">
        <v>3350.6151</v>
      </c>
      <c r="L107" s="587"/>
      <c r="M107" s="553"/>
      <c r="N107" s="587"/>
      <c r="O107" s="555"/>
      <c r="P107" s="587">
        <f t="shared" ref="P107:Q113" si="45">D107+F107+H107+J107+L107+N107</f>
        <v>1052.461</v>
      </c>
      <c r="Q107" s="553">
        <f t="shared" si="45"/>
        <v>16201.060150000001</v>
      </c>
      <c r="R107" s="556">
        <f>S107/P107/10</f>
        <v>0.28841515267549106</v>
      </c>
      <c r="S107" s="554">
        <v>3035.4569999999999</v>
      </c>
      <c r="T107" s="580"/>
      <c r="U107" s="2358" t="s">
        <v>282</v>
      </c>
      <c r="V107" s="2359"/>
      <c r="W107" s="554"/>
      <c r="X107" s="553"/>
      <c r="Y107" s="553"/>
      <c r="Z107" s="556"/>
      <c r="AA107" s="554"/>
      <c r="AB107" s="585"/>
      <c r="AC107" s="1783"/>
      <c r="AD107" s="1783"/>
      <c r="AE107" s="585"/>
    </row>
    <row r="108" spans="1:37" s="586" customFormat="1" ht="9" customHeight="1" outlineLevel="1">
      <c r="A108" s="2358" t="s">
        <v>283</v>
      </c>
      <c r="B108" s="2359"/>
      <c r="C108" s="554">
        <f t="shared" ref="C108:C117" si="46">Q108/P108*1000</f>
        <v>20674.056422229492</v>
      </c>
      <c r="D108" s="587">
        <f>E51</f>
        <v>10.295999999999999</v>
      </c>
      <c r="E108" s="2167">
        <v>212.80194</v>
      </c>
      <c r="F108" s="587">
        <f>E57</f>
        <v>409.84199999999998</v>
      </c>
      <c r="G108" s="2167">
        <v>8469.7357400000001</v>
      </c>
      <c r="H108" s="587">
        <f>E60</f>
        <v>114.624</v>
      </c>
      <c r="I108" s="2167">
        <v>2373.7075300000001</v>
      </c>
      <c r="J108" s="2083">
        <f>E54+E63+E66</f>
        <v>6.1950000000000003</v>
      </c>
      <c r="K108" s="2167">
        <v>127.53033000000001</v>
      </c>
      <c r="L108" s="587"/>
      <c r="M108" s="553"/>
      <c r="N108" s="587"/>
      <c r="O108" s="555"/>
      <c r="P108" s="587">
        <f t="shared" si="45"/>
        <v>540.95699999999999</v>
      </c>
      <c r="Q108" s="553">
        <f t="shared" si="45"/>
        <v>11183.775539999999</v>
      </c>
      <c r="R108" s="556">
        <f t="shared" ref="R108:R117" si="47">S108/P108/10</f>
        <v>0.19923968078793691</v>
      </c>
      <c r="S108" s="554">
        <v>1077.8009999999999</v>
      </c>
      <c r="T108" s="580"/>
      <c r="U108" s="2358" t="s">
        <v>283</v>
      </c>
      <c r="V108" s="2359"/>
      <c r="W108" s="554"/>
      <c r="X108" s="558"/>
      <c r="Y108" s="553"/>
      <c r="Z108" s="556"/>
      <c r="AA108" s="554"/>
      <c r="AB108" s="585"/>
      <c r="AC108" s="1783"/>
      <c r="AD108" s="1783"/>
      <c r="AE108" s="585"/>
    </row>
    <row r="109" spans="1:37" s="586" customFormat="1" ht="9" customHeight="1" outlineLevel="1">
      <c r="A109" s="2358" t="s">
        <v>432</v>
      </c>
      <c r="B109" s="2359"/>
      <c r="C109" s="554">
        <f t="shared" si="46"/>
        <v>43000.487398739875</v>
      </c>
      <c r="D109" s="587"/>
      <c r="E109" s="553"/>
      <c r="F109" s="587"/>
      <c r="G109" s="553"/>
      <c r="H109" s="587"/>
      <c r="I109" s="555"/>
      <c r="J109" s="2083"/>
      <c r="K109" s="2109"/>
      <c r="L109" s="587">
        <f>F69</f>
        <v>17.559999999999999</v>
      </c>
      <c r="M109" s="2167">
        <v>749.57457999999997</v>
      </c>
      <c r="N109" s="587">
        <f>F72</f>
        <v>26.88</v>
      </c>
      <c r="O109" s="2167">
        <v>1161.36708</v>
      </c>
      <c r="P109" s="587">
        <f t="shared" ref="P109" si="48">D109+F109+H109+J109+L109+N109</f>
        <v>44.44</v>
      </c>
      <c r="Q109" s="553">
        <f t="shared" ref="Q109" si="49">E109+G109+I109+K109+M109+O109</f>
        <v>1910.94166</v>
      </c>
      <c r="R109" s="556">
        <f t="shared" si="47"/>
        <v>1.1185238523852385</v>
      </c>
      <c r="S109" s="554">
        <v>497.072</v>
      </c>
      <c r="T109" s="580"/>
      <c r="U109" s="2358" t="s">
        <v>432</v>
      </c>
      <c r="V109" s="2359"/>
      <c r="W109" s="554"/>
      <c r="X109" s="558"/>
      <c r="Y109" s="553"/>
      <c r="Z109" s="556"/>
      <c r="AA109" s="554"/>
      <c r="AB109" s="585"/>
      <c r="AC109" s="1783"/>
      <c r="AD109" s="1783"/>
      <c r="AE109" s="585"/>
    </row>
    <row r="110" spans="1:37" s="586" customFormat="1" ht="9" customHeight="1" outlineLevel="1">
      <c r="A110" s="2358" t="s">
        <v>284</v>
      </c>
      <c r="B110" s="2359"/>
      <c r="C110" s="554">
        <f t="shared" si="46"/>
        <v>26151.768749031977</v>
      </c>
      <c r="D110" s="587"/>
      <c r="E110" s="553"/>
      <c r="F110" s="587"/>
      <c r="G110" s="553"/>
      <c r="H110" s="587"/>
      <c r="I110" s="555"/>
      <c r="J110" s="2083"/>
      <c r="K110" s="2109"/>
      <c r="L110" s="587"/>
      <c r="M110" s="553"/>
      <c r="N110" s="587">
        <f>G72</f>
        <v>684.38199999999995</v>
      </c>
      <c r="O110" s="2167">
        <v>17897.799800000001</v>
      </c>
      <c r="P110" s="587">
        <f t="shared" si="45"/>
        <v>684.38199999999995</v>
      </c>
      <c r="Q110" s="553">
        <f t="shared" si="45"/>
        <v>17897.799800000001</v>
      </c>
      <c r="R110" s="556">
        <f t="shared" si="47"/>
        <v>0.29871036935512624</v>
      </c>
      <c r="S110" s="554">
        <v>2044.32</v>
      </c>
      <c r="T110" s="580"/>
      <c r="U110" s="2358" t="s">
        <v>284</v>
      </c>
      <c r="V110" s="2359"/>
      <c r="W110" s="554"/>
      <c r="X110" s="553"/>
      <c r="Y110" s="553"/>
      <c r="Z110" s="556"/>
      <c r="AA110" s="554"/>
      <c r="AB110" s="585"/>
      <c r="AC110" s="1783"/>
      <c r="AD110" s="1783"/>
      <c r="AE110" s="585"/>
    </row>
    <row r="111" spans="1:37" s="586" customFormat="1" ht="9" customHeight="1" outlineLevel="1">
      <c r="A111" s="2358" t="s">
        <v>285</v>
      </c>
      <c r="B111" s="2359"/>
      <c r="C111" s="554">
        <f t="shared" si="46"/>
        <v>19408.073655692213</v>
      </c>
      <c r="D111" s="587"/>
      <c r="E111" s="553"/>
      <c r="F111" s="587"/>
      <c r="G111" s="553"/>
      <c r="H111" s="587"/>
      <c r="I111" s="555"/>
      <c r="J111" s="2083">
        <f>H54+H63</f>
        <v>100.681</v>
      </c>
      <c r="K111" s="2167">
        <v>1956.40669</v>
      </c>
      <c r="L111" s="587"/>
      <c r="M111" s="553"/>
      <c r="N111" s="587">
        <f>H72</f>
        <v>966.03899999999999</v>
      </c>
      <c r="O111" s="2167">
        <v>18746.573639999999</v>
      </c>
      <c r="P111" s="587">
        <f t="shared" si="45"/>
        <v>1066.72</v>
      </c>
      <c r="Q111" s="553">
        <f t="shared" si="45"/>
        <v>20702.980329999999</v>
      </c>
      <c r="R111" s="556">
        <f t="shared" si="47"/>
        <v>0.13634627643617819</v>
      </c>
      <c r="S111" s="554">
        <v>1454.433</v>
      </c>
      <c r="T111" s="580"/>
      <c r="U111" s="2358" t="s">
        <v>285</v>
      </c>
      <c r="V111" s="2359"/>
      <c r="W111" s="554">
        <f t="shared" ref="W111:W114" si="50">Y111/X111*1000</f>
        <v>19356.642018548861</v>
      </c>
      <c r="X111" s="2177">
        <f>H78</f>
        <v>931.91700000000003</v>
      </c>
      <c r="Y111" s="2177">
        <v>18038.783759999998</v>
      </c>
      <c r="Z111" s="556">
        <f t="shared" ref="Z111:Z112" si="51">AA111/X111/10</f>
        <v>0.57637944151678744</v>
      </c>
      <c r="AA111" s="554">
        <v>5371.3779999999997</v>
      </c>
      <c r="AB111" s="585"/>
      <c r="AC111" s="1783"/>
      <c r="AD111" s="1783"/>
      <c r="AE111" s="585"/>
    </row>
    <row r="112" spans="1:37" s="586" customFormat="1" ht="9" customHeight="1" outlineLevel="1">
      <c r="A112" s="2358" t="s">
        <v>286</v>
      </c>
      <c r="B112" s="2359"/>
      <c r="C112" s="554"/>
      <c r="D112" s="587"/>
      <c r="E112" s="553"/>
      <c r="F112" s="587"/>
      <c r="G112" s="553"/>
      <c r="H112" s="587"/>
      <c r="I112" s="555"/>
      <c r="J112" s="2083"/>
      <c r="K112" s="2109"/>
      <c r="L112" s="587"/>
      <c r="M112" s="553"/>
      <c r="N112" s="587"/>
      <c r="O112" s="555"/>
      <c r="P112" s="587">
        <f t="shared" si="45"/>
        <v>0</v>
      </c>
      <c r="Q112" s="553">
        <f t="shared" si="45"/>
        <v>0</v>
      </c>
      <c r="R112" s="556"/>
      <c r="S112" s="554"/>
      <c r="T112" s="580"/>
      <c r="U112" s="2358" t="s">
        <v>286</v>
      </c>
      <c r="V112" s="2359"/>
      <c r="W112" s="554">
        <f t="shared" si="50"/>
        <v>14906.306529433074</v>
      </c>
      <c r="X112" s="2177">
        <f>I78</f>
        <v>3500.212</v>
      </c>
      <c r="Y112" s="2177">
        <v>52175.232989999997</v>
      </c>
      <c r="Z112" s="556">
        <f t="shared" si="51"/>
        <v>0.2595987043070534</v>
      </c>
      <c r="AA112" s="554">
        <v>9086.5049999999992</v>
      </c>
      <c r="AB112" s="585"/>
      <c r="AC112" s="1783"/>
      <c r="AD112" s="1783"/>
      <c r="AE112" s="585"/>
    </row>
    <row r="113" spans="1:32" s="586" customFormat="1" ht="9" customHeight="1" outlineLevel="1">
      <c r="A113" s="2358" t="s">
        <v>512</v>
      </c>
      <c r="B113" s="2359"/>
      <c r="C113" s="554"/>
      <c r="D113" s="587"/>
      <c r="E113" s="553"/>
      <c r="F113" s="587"/>
      <c r="G113" s="553"/>
      <c r="H113" s="587"/>
      <c r="I113" s="555"/>
      <c r="J113" s="2083"/>
      <c r="K113" s="553"/>
      <c r="L113" s="587"/>
      <c r="M113" s="553"/>
      <c r="N113" s="587"/>
      <c r="O113" s="555"/>
      <c r="P113" s="587">
        <f t="shared" si="45"/>
        <v>0</v>
      </c>
      <c r="Q113" s="553">
        <f t="shared" si="45"/>
        <v>0</v>
      </c>
      <c r="R113" s="556" t="e">
        <f t="shared" si="47"/>
        <v>#DIV/0!</v>
      </c>
      <c r="S113" s="554">
        <v>127.14</v>
      </c>
      <c r="T113" s="580"/>
      <c r="U113" s="2358" t="s">
        <v>287</v>
      </c>
      <c r="V113" s="2359"/>
      <c r="W113" s="554">
        <f t="shared" si="50"/>
        <v>13626.065746780456</v>
      </c>
      <c r="X113" s="2178">
        <f>J78</f>
        <v>865.10699999999997</v>
      </c>
      <c r="Y113" s="2178">
        <v>11788.004859999999</v>
      </c>
      <c r="Z113" s="556"/>
      <c r="AA113" s="554"/>
      <c r="AB113" s="585"/>
      <c r="AC113" s="1783"/>
      <c r="AD113" s="1783"/>
      <c r="AE113" s="585"/>
    </row>
    <row r="114" spans="1:32" s="586" customFormat="1" ht="10.5" customHeight="1" outlineLevel="1">
      <c r="A114" s="2430" t="s">
        <v>298</v>
      </c>
      <c r="B114" s="2431"/>
      <c r="C114" s="554">
        <f>Q114/P114*1000</f>
        <v>20034.629349416929</v>
      </c>
      <c r="D114" s="1363">
        <f>SUM(D107:D113)</f>
        <v>11.394</v>
      </c>
      <c r="E114" s="549">
        <f t="shared" ref="E114:Q114" si="52">SUM(E107:E113)</f>
        <v>229.24166</v>
      </c>
      <c r="F114" s="1363">
        <f t="shared" si="52"/>
        <v>1067.1089999999999</v>
      </c>
      <c r="G114" s="549">
        <f t="shared" si="52"/>
        <v>18597.98143</v>
      </c>
      <c r="H114" s="1363">
        <f t="shared" si="52"/>
        <v>290.464</v>
      </c>
      <c r="I114" s="549">
        <f t="shared" si="52"/>
        <v>5079.4671699999999</v>
      </c>
      <c r="J114" s="2084">
        <f t="shared" si="52"/>
        <v>325.13200000000001</v>
      </c>
      <c r="K114" s="549">
        <f t="shared" si="52"/>
        <v>5434.5521200000003</v>
      </c>
      <c r="L114" s="1363">
        <f t="shared" si="52"/>
        <v>17.559999999999999</v>
      </c>
      <c r="M114" s="549">
        <f t="shared" si="52"/>
        <v>749.57457999999997</v>
      </c>
      <c r="N114" s="1363">
        <f t="shared" si="52"/>
        <v>1677.3009999999999</v>
      </c>
      <c r="O114" s="549">
        <f t="shared" si="52"/>
        <v>37805.740519999999</v>
      </c>
      <c r="P114" s="549">
        <f t="shared" si="52"/>
        <v>3388.96</v>
      </c>
      <c r="Q114" s="549">
        <f t="shared" si="52"/>
        <v>67896.557479999989</v>
      </c>
      <c r="R114" s="561"/>
      <c r="S114" s="554"/>
      <c r="T114" s="580"/>
      <c r="U114" s="2430" t="s">
        <v>298</v>
      </c>
      <c r="V114" s="2431"/>
      <c r="W114" s="554">
        <f t="shared" si="50"/>
        <v>15480.152594673902</v>
      </c>
      <c r="X114" s="549">
        <f>SUM(X107:X113)</f>
        <v>5297.2359999999999</v>
      </c>
      <c r="Y114" s="549">
        <f>SUM(Y107:Y113)</f>
        <v>82002.021609999996</v>
      </c>
      <c r="Z114" s="561"/>
      <c r="AA114" s="554"/>
      <c r="AB114" s="585"/>
      <c r="AC114" s="1783"/>
      <c r="AD114" s="1783"/>
      <c r="AE114" s="585"/>
    </row>
    <row r="115" spans="1:32" s="586" customFormat="1" ht="9" customHeight="1" outlineLevel="1">
      <c r="A115" s="2428" t="s">
        <v>682</v>
      </c>
      <c r="B115" s="2429"/>
      <c r="C115" s="554"/>
      <c r="D115" s="553"/>
      <c r="E115" s="553"/>
      <c r="F115" s="587">
        <f>L57</f>
        <v>0.17599999999999999</v>
      </c>
      <c r="G115" s="2174">
        <v>1.8440000000000001</v>
      </c>
      <c r="H115" s="1795">
        <f>L60</f>
        <v>3.4000000000000002E-2</v>
      </c>
      <c r="I115" s="2175">
        <v>0.35629</v>
      </c>
      <c r="J115" s="2083"/>
      <c r="K115" s="553"/>
      <c r="L115" s="562"/>
      <c r="M115" s="553"/>
      <c r="N115" s="563"/>
      <c r="O115" s="555"/>
      <c r="P115" s="553">
        <f t="shared" ref="P115:Q119" si="53">D115+F115+H115+J115+L115+N115</f>
        <v>0.21</v>
      </c>
      <c r="Q115" s="553">
        <f t="shared" si="53"/>
        <v>2.2002899999999999</v>
      </c>
      <c r="R115" s="556"/>
      <c r="S115" s="554"/>
      <c r="T115" s="580"/>
      <c r="U115" s="2428" t="s">
        <v>568</v>
      </c>
      <c r="V115" s="2429"/>
      <c r="W115" s="554"/>
      <c r="X115" s="587"/>
      <c r="Y115" s="558"/>
      <c r="Z115" s="556"/>
      <c r="AA115" s="554"/>
      <c r="AB115" s="585"/>
      <c r="AC115" s="1783"/>
      <c r="AD115" s="1783"/>
      <c r="AE115" s="585"/>
    </row>
    <row r="116" spans="1:32" s="586" customFormat="1" ht="9" customHeight="1" outlineLevel="1">
      <c r="A116" s="2428" t="str">
        <f>A94</f>
        <v>рыбий жир</v>
      </c>
      <c r="B116" s="2429"/>
      <c r="C116" s="554" t="e">
        <f t="shared" si="46"/>
        <v>#DIV/0!</v>
      </c>
      <c r="D116" s="553">
        <f>M51</f>
        <v>0</v>
      </c>
      <c r="E116" s="607"/>
      <c r="F116" s="553"/>
      <c r="G116" s="553"/>
      <c r="H116" s="554"/>
      <c r="I116" s="555"/>
      <c r="J116" s="2083"/>
      <c r="K116" s="607"/>
      <c r="L116" s="553"/>
      <c r="M116" s="553"/>
      <c r="N116" s="554"/>
      <c r="O116" s="555"/>
      <c r="P116" s="553">
        <f t="shared" si="53"/>
        <v>0</v>
      </c>
      <c r="Q116" s="553">
        <f t="shared" si="53"/>
        <v>0</v>
      </c>
      <c r="R116" s="556" t="e">
        <f t="shared" si="47"/>
        <v>#DIV/0!</v>
      </c>
      <c r="S116" s="554">
        <v>0.35099999999999998</v>
      </c>
      <c r="T116" s="580"/>
      <c r="U116" s="2428" t="str">
        <f>A116</f>
        <v>рыбий жир</v>
      </c>
      <c r="V116" s="2429"/>
      <c r="W116" s="554"/>
      <c r="X116" s="566"/>
      <c r="Y116" s="558"/>
      <c r="Z116" s="556"/>
      <c r="AA116" s="554"/>
      <c r="AB116" s="585"/>
      <c r="AC116" s="1783"/>
      <c r="AD116" s="1783"/>
      <c r="AE116" s="585"/>
    </row>
    <row r="117" spans="1:32" s="586" customFormat="1" ht="9" customHeight="1" outlineLevel="1">
      <c r="A117" s="2428" t="str">
        <f>A95</f>
        <v>ЗЦМ</v>
      </c>
      <c r="B117" s="2429"/>
      <c r="C117" s="554">
        <f t="shared" si="46"/>
        <v>130852.48565965582</v>
      </c>
      <c r="D117" s="553"/>
      <c r="E117" s="553"/>
      <c r="F117" s="553"/>
      <c r="G117" s="553"/>
      <c r="H117" s="554"/>
      <c r="I117" s="555"/>
      <c r="J117" s="2083"/>
      <c r="K117" s="553"/>
      <c r="L117" s="607">
        <f>N69</f>
        <v>1.046</v>
      </c>
      <c r="M117" s="2167">
        <v>136.8717</v>
      </c>
      <c r="N117" s="554"/>
      <c r="O117" s="945"/>
      <c r="P117" s="553">
        <f t="shared" si="53"/>
        <v>1.046</v>
      </c>
      <c r="Q117" s="553">
        <f t="shared" si="53"/>
        <v>136.8717</v>
      </c>
      <c r="R117" s="556">
        <f t="shared" si="47"/>
        <v>0.25984703632887191</v>
      </c>
      <c r="S117" s="554">
        <v>2.718</v>
      </c>
      <c r="T117" s="580"/>
      <c r="U117" s="2428" t="str">
        <f>A117</f>
        <v>ЗЦМ</v>
      </c>
      <c r="V117" s="2429"/>
      <c r="W117" s="554"/>
      <c r="X117" s="566"/>
      <c r="Y117" s="558"/>
      <c r="Z117" s="556"/>
      <c r="AA117" s="554"/>
      <c r="AB117" s="585"/>
      <c r="AC117" s="1783"/>
      <c r="AD117" s="1783"/>
      <c r="AE117" s="585"/>
    </row>
    <row r="118" spans="1:32" s="586" customFormat="1" ht="9" customHeight="1" outlineLevel="1">
      <c r="A118" s="2428" t="str">
        <f>A96</f>
        <v>сах. песок</v>
      </c>
      <c r="B118" s="2429"/>
      <c r="C118" s="554"/>
      <c r="D118" s="587">
        <f>O51</f>
        <v>8.6099999999999996E-2</v>
      </c>
      <c r="E118" s="2167">
        <v>3.3060700000000001</v>
      </c>
      <c r="F118" s="553"/>
      <c r="G118" s="553"/>
      <c r="H118" s="554"/>
      <c r="I118" s="555"/>
      <c r="J118" s="2083">
        <f>O54</f>
        <v>3.6900000000000002E-2</v>
      </c>
      <c r="K118" s="2167">
        <v>1.4244300000000001</v>
      </c>
      <c r="L118" s="553"/>
      <c r="M118" s="553"/>
      <c r="N118" s="554"/>
      <c r="O118" s="555"/>
      <c r="P118" s="553">
        <f t="shared" si="53"/>
        <v>0.123</v>
      </c>
      <c r="Q118" s="553">
        <f t="shared" si="53"/>
        <v>4.7305000000000001</v>
      </c>
      <c r="R118" s="564"/>
      <c r="S118" s="554"/>
      <c r="T118" s="580"/>
      <c r="U118" s="2428" t="str">
        <f>A118</f>
        <v>сах. песок</v>
      </c>
      <c r="V118" s="2429"/>
      <c r="W118" s="554"/>
      <c r="X118" s="566"/>
      <c r="Y118" s="558"/>
      <c r="Z118" s="564"/>
      <c r="AA118" s="554"/>
      <c r="AB118" s="585"/>
      <c r="AC118" s="1783"/>
      <c r="AD118" s="1783"/>
      <c r="AE118" s="585"/>
    </row>
    <row r="119" spans="1:32" s="586" customFormat="1" ht="10.5" customHeight="1" outlineLevel="1">
      <c r="A119" s="2428" t="s">
        <v>300</v>
      </c>
      <c r="B119" s="2429"/>
      <c r="C119" s="567"/>
      <c r="D119" s="568">
        <v>0</v>
      </c>
      <c r="E119" s="607"/>
      <c r="F119" s="568">
        <v>0</v>
      </c>
      <c r="G119" s="568">
        <v>0</v>
      </c>
      <c r="H119" s="568">
        <v>0</v>
      </c>
      <c r="I119" s="568">
        <f t="shared" ref="I119" si="54">I116+I117+I118</f>
        <v>0</v>
      </c>
      <c r="J119" s="2085">
        <v>0</v>
      </c>
      <c r="K119" s="607"/>
      <c r="L119" s="568">
        <v>0</v>
      </c>
      <c r="M119" s="568">
        <v>0</v>
      </c>
      <c r="N119" s="568">
        <v>0</v>
      </c>
      <c r="O119" s="568">
        <v>0</v>
      </c>
      <c r="P119" s="568">
        <v>0</v>
      </c>
      <c r="Q119" s="553">
        <f t="shared" si="53"/>
        <v>0</v>
      </c>
      <c r="R119" s="564"/>
      <c r="S119" s="554"/>
      <c r="T119" s="580"/>
      <c r="U119" s="2428" t="s">
        <v>300</v>
      </c>
      <c r="V119" s="2429"/>
      <c r="W119" s="567"/>
      <c r="X119" s="568">
        <f>X116+X117+X118</f>
        <v>0</v>
      </c>
      <c r="Y119" s="568">
        <f>Y116+Y117+Y118</f>
        <v>0</v>
      </c>
      <c r="Z119" s="564"/>
      <c r="AA119" s="554"/>
      <c r="AB119" s="585"/>
      <c r="AC119" s="1783"/>
      <c r="AD119" s="1783"/>
      <c r="AE119" s="585"/>
    </row>
    <row r="120" spans="1:32" s="586" customFormat="1" ht="10.5" customHeight="1" outlineLevel="1">
      <c r="A120" s="2434" t="s">
        <v>302</v>
      </c>
      <c r="B120" s="2434"/>
      <c r="C120" s="563"/>
      <c r="D120" s="576">
        <f>D114+D115+D116++D117+D118+D119</f>
        <v>11.4801</v>
      </c>
      <c r="E120" s="576">
        <f>E114+E115+E116++E117+E118+E119</f>
        <v>232.54773</v>
      </c>
      <c r="F120" s="576">
        <f t="shared" ref="F120:O120" si="55">F114+F115+F116++F117+F118+F119</f>
        <v>1067.2849999999999</v>
      </c>
      <c r="G120" s="576">
        <f t="shared" si="55"/>
        <v>18599.825430000001</v>
      </c>
      <c r="H120" s="576">
        <f t="shared" si="55"/>
        <v>290.49799999999999</v>
      </c>
      <c r="I120" s="576">
        <f t="shared" si="55"/>
        <v>5079.8234599999996</v>
      </c>
      <c r="J120" s="2086">
        <f t="shared" si="55"/>
        <v>325.16890000000001</v>
      </c>
      <c r="K120" s="576">
        <f t="shared" si="55"/>
        <v>5435.9765500000003</v>
      </c>
      <c r="L120" s="576">
        <f t="shared" si="55"/>
        <v>18.605999999999998</v>
      </c>
      <c r="M120" s="576">
        <f>M114+M115+M116++M117+M118+M119</f>
        <v>886.44628</v>
      </c>
      <c r="N120" s="576">
        <f t="shared" si="55"/>
        <v>1677.3009999999999</v>
      </c>
      <c r="O120" s="576">
        <f t="shared" si="55"/>
        <v>37805.740519999999</v>
      </c>
      <c r="P120" s="576">
        <f>P114+P115+P116++P117+P118+P119</f>
        <v>3390.3389999999999</v>
      </c>
      <c r="Q120" s="575">
        <f>Q114+Q115+Q116++Q117+Q118+Q119</f>
        <v>68040.35996999999</v>
      </c>
      <c r="R120" s="563"/>
      <c r="S120" s="563">
        <f>SUM(S107:S119)</f>
        <v>8239.2920000000013</v>
      </c>
      <c r="T120" s="582"/>
      <c r="U120" s="2434" t="s">
        <v>302</v>
      </c>
      <c r="V120" s="2434"/>
      <c r="W120" s="563"/>
      <c r="X120" s="575">
        <f>X114+X115+X119</f>
        <v>5297.2359999999999</v>
      </c>
      <c r="Y120" s="575">
        <f>Y114+Y115+Y119</f>
        <v>82002.021609999996</v>
      </c>
      <c r="Z120" s="563"/>
      <c r="AA120" s="563">
        <f>SUM(AA107:AA119)</f>
        <v>14457.882999999998</v>
      </c>
      <c r="AB120" s="581"/>
      <c r="AC120" s="1783"/>
      <c r="AD120" s="1783"/>
      <c r="AE120" s="581"/>
    </row>
    <row r="121" spans="1:32" s="586" customFormat="1" ht="10.5" customHeight="1" outlineLevel="1">
      <c r="A121" s="2347" t="s">
        <v>431</v>
      </c>
      <c r="B121" s="2347"/>
      <c r="C121" s="563"/>
      <c r="D121" s="576">
        <v>31.777000000000001</v>
      </c>
      <c r="E121" s="576">
        <f>E120/D121*10</f>
        <v>73.181146741353814</v>
      </c>
      <c r="F121" s="576">
        <v>3311.029</v>
      </c>
      <c r="G121" s="576">
        <f>G120/F121*10</f>
        <v>56.175362493049747</v>
      </c>
      <c r="H121" s="576">
        <v>476.22800000000001</v>
      </c>
      <c r="I121" s="576">
        <f>I120/H121*10</f>
        <v>106.66788723048623</v>
      </c>
      <c r="J121" s="2086">
        <v>611.74699999999996</v>
      </c>
      <c r="K121" s="576">
        <f>K120/J121*10</f>
        <v>88.859880800396255</v>
      </c>
      <c r="L121" s="576">
        <v>36.558</v>
      </c>
      <c r="M121" s="576">
        <f>M120/L121*10</f>
        <v>242.47668909677773</v>
      </c>
      <c r="N121" s="576">
        <v>3771.953</v>
      </c>
      <c r="O121" s="576">
        <f>O120/N121*10</f>
        <v>100.2285567184957</v>
      </c>
      <c r="P121" s="553">
        <f>D121+F121+H121+J121+L121+N121</f>
        <v>8239.2919999999995</v>
      </c>
      <c r="Q121" s="576">
        <f>Q120/P121*10</f>
        <v>82.580347886687349</v>
      </c>
      <c r="R121" s="563"/>
      <c r="S121" s="563"/>
      <c r="T121" s="582"/>
      <c r="U121" s="2347" t="s">
        <v>431</v>
      </c>
      <c r="V121" s="2347"/>
      <c r="W121" s="563"/>
      <c r="X121" s="576">
        <f>X111*Z111*10+X112*Z112*10</f>
        <v>14457.882999999998</v>
      </c>
      <c r="Y121" s="576">
        <f>Y120/X121*10</f>
        <v>56.717862227824092</v>
      </c>
      <c r="Z121" s="563"/>
      <c r="AA121" s="563"/>
      <c r="AB121" s="581"/>
      <c r="AC121" s="1783"/>
      <c r="AD121" s="1783"/>
      <c r="AE121" s="581"/>
    </row>
    <row r="122" spans="1:32" s="480" customFormat="1" ht="10.5" customHeight="1">
      <c r="A122" s="588"/>
      <c r="B122" s="588"/>
      <c r="C122" s="589"/>
      <c r="D122" s="590"/>
      <c r="E122" s="590"/>
      <c r="F122" s="590"/>
      <c r="G122" s="590"/>
      <c r="H122" s="590"/>
      <c r="I122" s="590"/>
      <c r="J122" s="2087"/>
      <c r="K122" s="590"/>
      <c r="L122" s="590"/>
      <c r="M122" s="590"/>
      <c r="N122" s="590"/>
      <c r="O122" s="590"/>
      <c r="P122" s="590"/>
      <c r="Q122" s="590"/>
      <c r="R122" s="589"/>
      <c r="S122" s="589"/>
      <c r="T122" s="477"/>
      <c r="U122" s="588"/>
      <c r="V122" s="588"/>
      <c r="W122" s="589"/>
      <c r="X122" s="590"/>
      <c r="Y122" s="590"/>
      <c r="Z122" s="589"/>
      <c r="AA122" s="589"/>
      <c r="AB122" s="475"/>
      <c r="AC122" s="1770"/>
      <c r="AD122" s="1770"/>
      <c r="AE122" s="474"/>
      <c r="AF122" s="472"/>
    </row>
    <row r="123" spans="1:32" ht="10.5" customHeight="1"/>
    <row r="124" spans="1:32" ht="10.5" customHeight="1"/>
    <row r="125" spans="1:32" ht="10.5" customHeight="1"/>
    <row r="126" spans="1:32" ht="10.5" customHeight="1"/>
    <row r="127" spans="1:32" ht="10.5" customHeight="1"/>
    <row r="128" spans="1:32" ht="10.5" customHeight="1"/>
    <row r="129" ht="10.5" customHeight="1"/>
    <row r="130" ht="10.5" customHeight="1"/>
    <row r="131" ht="10.5" customHeight="1"/>
  </sheetData>
  <mergeCells count="148">
    <mergeCell ref="AM3:AO3"/>
    <mergeCell ref="D4:L4"/>
    <mergeCell ref="M4:X4"/>
    <mergeCell ref="AC4:AC5"/>
    <mergeCell ref="AD4:AD5"/>
    <mergeCell ref="AG4:AG5"/>
    <mergeCell ref="AC3:AD3"/>
    <mergeCell ref="AH4:AI4"/>
    <mergeCell ref="D5:E5"/>
    <mergeCell ref="F5:G5"/>
    <mergeCell ref="H5:I5"/>
    <mergeCell ref="J5:K5"/>
    <mergeCell ref="M5:N5"/>
    <mergeCell ref="O5:P5"/>
    <mergeCell ref="Q5:R5"/>
    <mergeCell ref="AE3:AE5"/>
    <mergeCell ref="AA3:AB5"/>
    <mergeCell ref="W5:X5"/>
    <mergeCell ref="S5:T5"/>
    <mergeCell ref="U5:V5"/>
    <mergeCell ref="AJ3:AJ5"/>
    <mergeCell ref="AF3:AF5"/>
    <mergeCell ref="AG3:AI3"/>
    <mergeCell ref="A3:A6"/>
    <mergeCell ref="B3:C5"/>
    <mergeCell ref="D3:X3"/>
    <mergeCell ref="Y3:Z5"/>
    <mergeCell ref="AJ39:AJ41"/>
    <mergeCell ref="D40:L40"/>
    <mergeCell ref="M40:X40"/>
    <mergeCell ref="AC40:AC41"/>
    <mergeCell ref="AD40:AD41"/>
    <mergeCell ref="AG40:AG41"/>
    <mergeCell ref="AH40:AI40"/>
    <mergeCell ref="Y39:Z41"/>
    <mergeCell ref="U41:V41"/>
    <mergeCell ref="W41:X41"/>
    <mergeCell ref="AE39:AE41"/>
    <mergeCell ref="AF39:AF41"/>
    <mergeCell ref="A39:A42"/>
    <mergeCell ref="B39:C41"/>
    <mergeCell ref="D39:X39"/>
    <mergeCell ref="AA39:AB41"/>
    <mergeCell ref="AC39:AD39"/>
    <mergeCell ref="D41:E41"/>
    <mergeCell ref="F41:G41"/>
    <mergeCell ref="H41:I41"/>
    <mergeCell ref="AG39:AI39"/>
    <mergeCell ref="B54:C54"/>
    <mergeCell ref="M41:N41"/>
    <mergeCell ref="O41:P41"/>
    <mergeCell ref="Q41:R41"/>
    <mergeCell ref="S41:T41"/>
    <mergeCell ref="B48:C49"/>
    <mergeCell ref="B50:C50"/>
    <mergeCell ref="B51:C51"/>
    <mergeCell ref="B52:C52"/>
    <mergeCell ref="B53:C53"/>
    <mergeCell ref="J41:K41"/>
    <mergeCell ref="D48:L48"/>
    <mergeCell ref="M48:O48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9:C79"/>
    <mergeCell ref="A82:B83"/>
    <mergeCell ref="D82:E82"/>
    <mergeCell ref="F82:G82"/>
    <mergeCell ref="H82:I82"/>
    <mergeCell ref="B78:C78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X82:Y82"/>
    <mergeCell ref="Z82:Z84"/>
    <mergeCell ref="AA82:AA84"/>
    <mergeCell ref="A84:B84"/>
    <mergeCell ref="U84:V84"/>
    <mergeCell ref="L82:M82"/>
    <mergeCell ref="N82:O82"/>
    <mergeCell ref="P82:Q82"/>
    <mergeCell ref="R82:R84"/>
    <mergeCell ref="S82:S84"/>
    <mergeCell ref="U82:V83"/>
    <mergeCell ref="J82:K82"/>
    <mergeCell ref="AA104:AA106"/>
    <mergeCell ref="A106:B106"/>
    <mergeCell ref="U106:V106"/>
    <mergeCell ref="N104:O104"/>
    <mergeCell ref="P104:Q104"/>
    <mergeCell ref="A104:B105"/>
    <mergeCell ref="R104:R106"/>
    <mergeCell ref="S104:S106"/>
    <mergeCell ref="D104:E104"/>
    <mergeCell ref="F104:G104"/>
    <mergeCell ref="H104:I104"/>
    <mergeCell ref="J104:K104"/>
    <mergeCell ref="L104:M104"/>
    <mergeCell ref="A107:B107"/>
    <mergeCell ref="U107:V107"/>
    <mergeCell ref="A108:B108"/>
    <mergeCell ref="U108:V108"/>
    <mergeCell ref="A110:B110"/>
    <mergeCell ref="U110:V110"/>
    <mergeCell ref="U104:V105"/>
    <mergeCell ref="X104:Y104"/>
    <mergeCell ref="Z104:Z106"/>
    <mergeCell ref="A120:B120"/>
    <mergeCell ref="U120:V120"/>
    <mergeCell ref="A121:B121"/>
    <mergeCell ref="U121:V121"/>
    <mergeCell ref="A109:B109"/>
    <mergeCell ref="U109:V109"/>
    <mergeCell ref="A117:B117"/>
    <mergeCell ref="U117:V117"/>
    <mergeCell ref="A118:B118"/>
    <mergeCell ref="U118:V118"/>
    <mergeCell ref="A119:B119"/>
    <mergeCell ref="U119:V119"/>
    <mergeCell ref="A114:B114"/>
    <mergeCell ref="U114:V114"/>
    <mergeCell ref="A115:B115"/>
    <mergeCell ref="U115:V115"/>
    <mergeCell ref="A116:B116"/>
    <mergeCell ref="U116:V116"/>
    <mergeCell ref="A111:B111"/>
    <mergeCell ref="U111:V111"/>
    <mergeCell ref="A112:B112"/>
    <mergeCell ref="U112:V112"/>
    <mergeCell ref="A113:B113"/>
    <mergeCell ref="U113:V113"/>
  </mergeCells>
  <pageMargins left="0.15748031496062992" right="0.19685039370078741" top="0.35433070866141736" bottom="0.23622047244094491" header="0.19685039370078741" footer="0.23622047244094491"/>
  <pageSetup paperSize="9" scale="75" orientation="landscape" r:id="rId1"/>
  <headerFooter>
    <oddHeader>&amp;C&amp;F Шувалово-2,3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DJ53"/>
  <sheetViews>
    <sheetView topLeftCell="D24" zoomScale="110" zoomScaleNormal="110" workbookViewId="0">
      <selection activeCell="J50" sqref="J50"/>
    </sheetView>
  </sheetViews>
  <sheetFormatPr defaultColWidth="5.85546875" defaultRowHeight="12.75" outlineLevelRow="1" outlineLevelCol="1"/>
  <cols>
    <col min="1" max="1" width="0.85546875" style="85" customWidth="1"/>
    <col min="2" max="2" width="33.85546875" style="85" customWidth="1"/>
    <col min="3" max="3" width="8.28515625" style="1960" customWidth="1"/>
    <col min="4" max="6" width="9.42578125" style="1960" customWidth="1"/>
    <col min="7" max="7" width="9.42578125" style="1961" customWidth="1"/>
    <col min="8" max="10" width="9.42578125" style="1960" customWidth="1"/>
    <col min="11" max="11" width="9.42578125" style="1961" customWidth="1"/>
    <col min="12" max="12" width="9.42578125" style="1962" customWidth="1" outlineLevel="1"/>
    <col min="13" max="14" width="9.140625" style="1960"/>
    <col min="15" max="114" width="5.28515625" customWidth="1"/>
    <col min="115" max="16384" width="5.85546875" style="85"/>
  </cols>
  <sheetData>
    <row r="1" spans="1:114" s="83" customFormat="1" ht="9" thickBot="1">
      <c r="B1" s="81" t="s">
        <v>657</v>
      </c>
      <c r="C1" s="1913"/>
      <c r="D1" s="1913"/>
      <c r="E1" s="1913"/>
      <c r="F1" s="1913"/>
      <c r="G1" s="1914"/>
      <c r="H1" s="1913"/>
      <c r="I1" s="1913"/>
      <c r="J1" s="1913"/>
      <c r="K1" s="1914"/>
      <c r="L1" s="1915"/>
      <c r="M1" s="1916"/>
      <c r="N1" s="1916"/>
    </row>
    <row r="2" spans="1:114" ht="27" customHeight="1">
      <c r="A2" s="84"/>
      <c r="B2" s="179"/>
      <c r="C2" s="1917" t="s">
        <v>349</v>
      </c>
      <c r="D2" s="1917" t="s">
        <v>350</v>
      </c>
      <c r="E2" s="1917" t="s">
        <v>351</v>
      </c>
      <c r="F2" s="1917" t="s">
        <v>353</v>
      </c>
      <c r="G2" s="1918" t="s">
        <v>360</v>
      </c>
      <c r="H2" s="1917" t="s">
        <v>352</v>
      </c>
      <c r="I2" s="1917" t="s">
        <v>354</v>
      </c>
      <c r="J2" s="1917" t="s">
        <v>294</v>
      </c>
      <c r="K2" s="1918" t="s">
        <v>626</v>
      </c>
      <c r="L2" s="1919" t="s">
        <v>355</v>
      </c>
      <c r="M2" s="2525" t="s">
        <v>541</v>
      </c>
      <c r="N2" s="2528" t="s">
        <v>542</v>
      </c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</row>
    <row r="3" spans="1:114" ht="13.5" customHeight="1">
      <c r="A3" s="195"/>
      <c r="B3" s="179" t="s">
        <v>543</v>
      </c>
      <c r="C3" s="1917">
        <f>'обор. ш-1'!AB7</f>
        <v>3649.5</v>
      </c>
      <c r="D3" s="1917">
        <f>'обор. ш-1'!AB10</f>
        <v>240201.5</v>
      </c>
      <c r="E3" s="1917">
        <f>'обор. ш-1'!AB13</f>
        <v>18525</v>
      </c>
      <c r="F3" s="1917">
        <f>'обор. ш-1'!AB19</f>
        <v>550201</v>
      </c>
      <c r="G3" s="1920">
        <f>SUM(C3:F3)</f>
        <v>812577</v>
      </c>
      <c r="H3" s="1917">
        <f>'обор. ш-1'!AB16</f>
        <v>55108.58</v>
      </c>
      <c r="I3" s="1917">
        <f>'обор. ш-1'!AB22</f>
        <v>1019617.5</v>
      </c>
      <c r="J3" s="1917">
        <f>'обор. ш-1'!AB25</f>
        <v>1518131</v>
      </c>
      <c r="K3" s="1921">
        <f>SUM(H3:J3)</f>
        <v>2592857.08</v>
      </c>
      <c r="L3" s="1919">
        <f>G3+K3</f>
        <v>3405434.08</v>
      </c>
      <c r="M3" s="2526"/>
      <c r="N3" s="2528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</row>
    <row r="4" spans="1:114" ht="13.5" customHeight="1">
      <c r="A4" s="195"/>
      <c r="B4" s="179" t="s">
        <v>544</v>
      </c>
      <c r="C4" s="1917">
        <f>'обор. ш-1'!AB8</f>
        <v>3444</v>
      </c>
      <c r="D4" s="1917">
        <f>'обор. ш-1'!AB11</f>
        <v>240705</v>
      </c>
      <c r="E4" s="1917">
        <f>'обор. ш-1'!AB14</f>
        <v>22536</v>
      </c>
      <c r="F4" s="1917">
        <f>'обор. ш-1'!AB20</f>
        <v>597938</v>
      </c>
      <c r="G4" s="1920">
        <f>SUM(C4:F4)</f>
        <v>864623</v>
      </c>
      <c r="H4" s="1917">
        <f>'обор. ш-1'!AB17</f>
        <v>59946</v>
      </c>
      <c r="I4" s="1917">
        <f>'обор. ш-1'!AB23</f>
        <v>1158626</v>
      </c>
      <c r="J4" s="1917">
        <f>'обор. ш-1'!AB26</f>
        <v>1483277</v>
      </c>
      <c r="K4" s="1921">
        <f>SUM(H4:J4)</f>
        <v>2701849</v>
      </c>
      <c r="L4" s="1919">
        <f>G4+K4</f>
        <v>3566472</v>
      </c>
      <c r="M4" s="2526"/>
      <c r="N4" s="2528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</row>
    <row r="5" spans="1:114" ht="13.5" customHeight="1">
      <c r="A5" s="195"/>
      <c r="B5" s="179" t="s">
        <v>545</v>
      </c>
      <c r="C5" s="1917">
        <f>C4-C3</f>
        <v>-205.5</v>
      </c>
      <c r="D5" s="1917">
        <f>D4-D3</f>
        <v>503.5</v>
      </c>
      <c r="E5" s="1917">
        <f>E4-E3</f>
        <v>4011</v>
      </c>
      <c r="F5" s="1917">
        <f>F4-F3</f>
        <v>47737</v>
      </c>
      <c r="G5" s="1920">
        <f t="shared" ref="G5:J5" si="0">G4-G3</f>
        <v>52046</v>
      </c>
      <c r="H5" s="1917">
        <f t="shared" si="0"/>
        <v>4837.4199999999983</v>
      </c>
      <c r="I5" s="1917">
        <f t="shared" si="0"/>
        <v>139008.5</v>
      </c>
      <c r="J5" s="1917">
        <f t="shared" si="0"/>
        <v>-34854</v>
      </c>
      <c r="K5" s="1921">
        <f>K4-K3</f>
        <v>108991.91999999993</v>
      </c>
      <c r="L5" s="1919">
        <f>L4-L3</f>
        <v>161037.91999999993</v>
      </c>
      <c r="M5" s="2526"/>
      <c r="N5" s="2528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</row>
    <row r="6" spans="1:114" s="87" customFormat="1" ht="13.5" customHeight="1">
      <c r="A6" s="86"/>
      <c r="B6" s="175" t="s">
        <v>546</v>
      </c>
      <c r="C6" s="1922"/>
      <c r="D6" s="1922"/>
      <c r="E6" s="1922"/>
      <c r="F6" s="1922">
        <f>'обор. ш-1'!L19-'обор. ш-1'!T19</f>
        <v>110.47260000000001</v>
      </c>
      <c r="G6" s="1923">
        <f>SUM(C6:F6)</f>
        <v>110.47260000000001</v>
      </c>
      <c r="H6" s="1922">
        <f>'обор. ш-1'!L16-'обор. ш-1'!T16</f>
        <v>16.310000000000002</v>
      </c>
      <c r="I6" s="1695">
        <f>'обор. ш-1'!L22-'обор. ш-1'!T22</f>
        <v>493.95844999999997</v>
      </c>
      <c r="J6" s="1695">
        <f>'обор. ш-1'!L25-'обор. ш-1'!T25</f>
        <v>1278.9162000000001</v>
      </c>
      <c r="K6" s="1921">
        <f>SUM(H6:J6)</f>
        <v>1789.1846500000001</v>
      </c>
      <c r="L6" s="1919">
        <f>G6+K6</f>
        <v>1899.6572500000002</v>
      </c>
      <c r="M6" s="2526"/>
      <c r="N6" s="2528"/>
      <c r="O6" s="85"/>
      <c r="P6" s="85"/>
    </row>
    <row r="7" spans="1:114" s="87" customFormat="1" ht="13.5" customHeight="1">
      <c r="A7" s="86"/>
      <c r="B7" s="175" t="s">
        <v>547</v>
      </c>
      <c r="C7" s="1922"/>
      <c r="D7" s="1922"/>
      <c r="E7" s="1922"/>
      <c r="F7" s="1922">
        <f>'обор. ш-1'!L20-'обор. ш-1'!T20</f>
        <v>159.42599999999999</v>
      </c>
      <c r="G7" s="1923">
        <f>SUM(C7:F7)</f>
        <v>159.42599999999999</v>
      </c>
      <c r="H7" s="1922">
        <f>'обор. ш-1'!L17-'обор. ш-1'!T17</f>
        <v>32.343000000000004</v>
      </c>
      <c r="I7" s="1695">
        <f>'обор. ш-1'!L23-'обор. ш-1'!T23</f>
        <v>568.19499999999994</v>
      </c>
      <c r="J7" s="1695">
        <f>'обор. ш-1'!L26-'обор. ш-1'!T26</f>
        <v>1214.3610000000001</v>
      </c>
      <c r="K7" s="1921">
        <f>SUM(H7:J7)</f>
        <v>1814.8989999999999</v>
      </c>
      <c r="L7" s="1919">
        <f>G7+K7</f>
        <v>1974.3249999999998</v>
      </c>
      <c r="M7" s="2526"/>
      <c r="N7" s="2528"/>
      <c r="O7" s="85"/>
      <c r="P7" s="85"/>
    </row>
    <row r="8" spans="1:114" s="87" customFormat="1" ht="13.5" customHeight="1">
      <c r="A8" s="86"/>
      <c r="B8" s="175" t="s">
        <v>548</v>
      </c>
      <c r="C8" s="1922"/>
      <c r="D8" s="1922"/>
      <c r="E8" s="1922"/>
      <c r="F8" s="1922">
        <f>F7-F6</f>
        <v>48.953399999999974</v>
      </c>
      <c r="G8" s="1923">
        <f t="shared" ref="G8:K8" si="1">G7-G6</f>
        <v>48.953399999999974</v>
      </c>
      <c r="H8" s="1922">
        <f t="shared" si="1"/>
        <v>16.033000000000001</v>
      </c>
      <c r="I8" s="1922">
        <f t="shared" si="1"/>
        <v>74.236549999999966</v>
      </c>
      <c r="J8" s="1922">
        <f t="shared" si="1"/>
        <v>-64.555200000000013</v>
      </c>
      <c r="K8" s="1921">
        <f t="shared" si="1"/>
        <v>25.71434999999974</v>
      </c>
      <c r="L8" s="1919">
        <f>L7-L6</f>
        <v>74.667749999999614</v>
      </c>
      <c r="M8" s="2526"/>
      <c r="N8" s="2528"/>
      <c r="O8" s="85"/>
      <c r="P8" s="85"/>
    </row>
    <row r="9" spans="1:114" s="87" customFormat="1" ht="13.5" customHeight="1">
      <c r="A9" s="86"/>
      <c r="B9" s="175"/>
      <c r="C9" s="1924"/>
      <c r="D9" s="1925"/>
      <c r="E9" s="1925"/>
      <c r="F9" s="1925"/>
      <c r="G9" s="1926"/>
      <c r="H9" s="1925"/>
      <c r="I9" s="1925"/>
      <c r="J9" s="1925"/>
      <c r="K9" s="1927"/>
      <c r="L9" s="1928"/>
      <c r="M9" s="2527"/>
      <c r="N9" s="2528"/>
      <c r="O9" s="85"/>
      <c r="P9" s="85"/>
    </row>
    <row r="10" spans="1:114" s="87" customFormat="1" ht="9" customHeight="1" thickBot="1">
      <c r="A10" s="90"/>
      <c r="B10" s="175" t="s">
        <v>58</v>
      </c>
      <c r="C10" s="2522" t="s">
        <v>122</v>
      </c>
      <c r="D10" s="2523"/>
      <c r="E10" s="2523"/>
      <c r="F10" s="2523"/>
      <c r="G10" s="2523"/>
      <c r="H10" s="2523"/>
      <c r="I10" s="2523"/>
      <c r="J10" s="2523"/>
      <c r="K10" s="2523"/>
      <c r="L10" s="2524"/>
      <c r="M10" s="1929"/>
      <c r="N10" s="1922"/>
    </row>
    <row r="11" spans="1:114" s="87" customFormat="1" ht="8.25">
      <c r="A11" s="86"/>
      <c r="B11" s="182" t="s">
        <v>60</v>
      </c>
      <c r="C11" s="1930">
        <f t="shared" ref="C11:M11" si="2">SUM(C12,C15,C18:C20,C21:C21)</f>
        <v>436.36507999999998</v>
      </c>
      <c r="D11" s="1930">
        <f t="shared" si="2"/>
        <v>14859.215630000001</v>
      </c>
      <c r="E11" s="1930">
        <f t="shared" si="2"/>
        <v>1489.87969</v>
      </c>
      <c r="F11" s="1930">
        <f t="shared" si="2"/>
        <v>2963.1655099999998</v>
      </c>
      <c r="G11" s="1931">
        <f t="shared" si="2"/>
        <v>19748.625909999999</v>
      </c>
      <c r="H11" s="1930">
        <f>SUM(H12,H15,H18:H20,H21,H25)</f>
        <v>3244.5692399999994</v>
      </c>
      <c r="I11" s="1930">
        <f>SUM(I12,I15,I18:I20,I21:I21)</f>
        <v>23263.571550000001</v>
      </c>
      <c r="J11" s="1930">
        <f t="shared" si="2"/>
        <v>63824.701229999991</v>
      </c>
      <c r="K11" s="1931">
        <f>SUM(K12,K15,K18:K20,K21,K25)</f>
        <v>90362.342020000011</v>
      </c>
      <c r="L11" s="1932">
        <f>SUM(L12,L15,L18:L20,L21,L25)</f>
        <v>110110.96793</v>
      </c>
      <c r="M11" s="1697">
        <f t="shared" si="2"/>
        <v>111848.32747988046</v>
      </c>
      <c r="N11" s="1696">
        <f>L11-M11</f>
        <v>-1737.3595498804643</v>
      </c>
    </row>
    <row r="12" spans="1:114" ht="9">
      <c r="A12" s="91"/>
      <c r="B12" s="176" t="s">
        <v>503</v>
      </c>
      <c r="C12" s="2241">
        <f>'обор. ш-1'!E98</f>
        <v>199.36405999999999</v>
      </c>
      <c r="D12" s="2241">
        <f>'обор. ш-1'!G98</f>
        <v>13957.585590000001</v>
      </c>
      <c r="E12" s="2241">
        <f>'обор. ш-1'!I98</f>
        <v>1402.6585599999999</v>
      </c>
      <c r="F12" s="2241">
        <f>'обор. ш-1'!M98</f>
        <v>669.96034999999995</v>
      </c>
      <c r="G12" s="1918">
        <f>SUM(C12:F12)</f>
        <v>16229.56856</v>
      </c>
      <c r="H12" s="2241">
        <f>'обор. ш-1'!K98</f>
        <v>3036.1344899999995</v>
      </c>
      <c r="I12" s="2241">
        <f>'обор. ш-1'!O98</f>
        <v>21701.834510000001</v>
      </c>
      <c r="J12" s="2241">
        <f>'обор. ш-1'!Q98</f>
        <v>63121.354509999997</v>
      </c>
      <c r="K12" s="1933">
        <f>SUM(H12:J12)</f>
        <v>87859.323510000002</v>
      </c>
      <c r="L12" s="1934">
        <f>G12+K12</f>
        <v>104088.89207</v>
      </c>
      <c r="M12" s="1694">
        <f>'св-во ш-1 план'!L8</f>
        <v>104796.78702988046</v>
      </c>
      <c r="N12" s="1696">
        <f t="shared" ref="N12:N53" si="3">L12-M12</f>
        <v>-707.8949598804611</v>
      </c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</row>
    <row r="13" spans="1:114" s="94" customFormat="1" ht="9">
      <c r="A13" s="93"/>
      <c r="B13" s="176" t="s">
        <v>123</v>
      </c>
      <c r="C13" s="2241">
        <f>'обор. ш-1'!D98</f>
        <v>10.32</v>
      </c>
      <c r="D13" s="2241">
        <f>'обор. ш-1'!F98</f>
        <v>798.00299999999993</v>
      </c>
      <c r="E13" s="2241">
        <f>'обор. ш-1'!H98</f>
        <v>79.003</v>
      </c>
      <c r="F13" s="2241">
        <f>'обор. ш-1'!L98</f>
        <v>16.015999999999998</v>
      </c>
      <c r="G13" s="1918">
        <f>SUM(C13:F13)</f>
        <v>903.34199999999998</v>
      </c>
      <c r="H13" s="2241">
        <f>'обор. ш-1'!J98</f>
        <v>194.21100000000001</v>
      </c>
      <c r="I13" s="2241">
        <f>'обор. ш-1'!N98</f>
        <v>964.64499999999998</v>
      </c>
      <c r="J13" s="2241">
        <f>'обор. ш-1'!P98</f>
        <v>3993.8509999999997</v>
      </c>
      <c r="K13" s="1933">
        <f>SUM(H13:J13)</f>
        <v>5152.7069999999994</v>
      </c>
      <c r="L13" s="1934">
        <f>G13+K13</f>
        <v>6056.0489999999991</v>
      </c>
      <c r="M13" s="1694">
        <f>'св-во ш-1 план'!L9</f>
        <v>5593.5002999999997</v>
      </c>
      <c r="N13" s="1696">
        <f t="shared" si="3"/>
        <v>462.54869999999937</v>
      </c>
    </row>
    <row r="14" spans="1:114" s="96" customFormat="1" ht="9">
      <c r="A14" s="95"/>
      <c r="B14" s="184" t="s">
        <v>63</v>
      </c>
      <c r="C14" s="2100">
        <f t="shared" ref="C14:L14" si="4">C12/C13*1000</f>
        <v>19318.222868217053</v>
      </c>
      <c r="D14" s="2100">
        <f t="shared" si="4"/>
        <v>17490.643005101487</v>
      </c>
      <c r="E14" s="2100">
        <f t="shared" si="4"/>
        <v>17754.497424148445</v>
      </c>
      <c r="F14" s="2100">
        <f t="shared" si="4"/>
        <v>41830.691183816183</v>
      </c>
      <c r="G14" s="2101">
        <f t="shared" si="4"/>
        <v>17966.139690172713</v>
      </c>
      <c r="H14" s="2100">
        <f t="shared" si="4"/>
        <v>15633.174691443837</v>
      </c>
      <c r="I14" s="2100">
        <f t="shared" si="4"/>
        <v>22497.223859554553</v>
      </c>
      <c r="J14" s="2100">
        <f t="shared" si="4"/>
        <v>15804.634301580105</v>
      </c>
      <c r="K14" s="2101">
        <f t="shared" si="4"/>
        <v>17051.100229452211</v>
      </c>
      <c r="L14" s="2102">
        <f t="shared" si="4"/>
        <v>17187.590798885547</v>
      </c>
      <c r="M14" s="2103">
        <f>M12/M13*1000</f>
        <v>18735.457479081651</v>
      </c>
      <c r="N14" s="2104">
        <f t="shared" si="3"/>
        <v>-1547.8666801961044</v>
      </c>
    </row>
    <row r="15" spans="1:114" ht="9" hidden="1" outlineLevel="1">
      <c r="A15" s="91"/>
      <c r="B15" s="176" t="s">
        <v>124</v>
      </c>
      <c r="C15" s="1695"/>
      <c r="D15" s="1695"/>
      <c r="E15" s="1695"/>
      <c r="F15" s="1695">
        <v>0</v>
      </c>
      <c r="G15" s="1918">
        <f>SUM(C15:F15)</f>
        <v>0</v>
      </c>
      <c r="H15" s="1695"/>
      <c r="I15" s="1695">
        <v>0</v>
      </c>
      <c r="J15" s="1695"/>
      <c r="K15" s="1933">
        <f>SUM(H15:J15)</f>
        <v>0</v>
      </c>
      <c r="L15" s="1934">
        <f>G15+K15</f>
        <v>0</v>
      </c>
      <c r="M15" s="1694">
        <f>'св-во шув-2 план'!L11</f>
        <v>0</v>
      </c>
      <c r="N15" s="1696">
        <f t="shared" si="3"/>
        <v>0</v>
      </c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</row>
    <row r="16" spans="1:114" s="94" customFormat="1" ht="9" hidden="1" outlineLevel="1">
      <c r="A16" s="93"/>
      <c r="B16" s="176" t="s">
        <v>123</v>
      </c>
      <c r="C16" s="1695"/>
      <c r="D16" s="1695"/>
      <c r="E16" s="1695"/>
      <c r="F16" s="1695">
        <v>0</v>
      </c>
      <c r="G16" s="1918">
        <f>SUM(C16:F16)</f>
        <v>0</v>
      </c>
      <c r="H16" s="1695"/>
      <c r="I16" s="1695">
        <v>0</v>
      </c>
      <c r="J16" s="1695"/>
      <c r="K16" s="1933">
        <f>SUM(H16:J16)</f>
        <v>0</v>
      </c>
      <c r="L16" s="1934">
        <f>G16+K16</f>
        <v>0</v>
      </c>
      <c r="M16" s="1694">
        <f>'св-во шув-2 план'!L12</f>
        <v>0</v>
      </c>
      <c r="N16" s="1696">
        <f t="shared" si="3"/>
        <v>0</v>
      </c>
    </row>
    <row r="17" spans="1:114" s="96" customFormat="1" ht="9" hidden="1" outlineLevel="1">
      <c r="A17" s="95"/>
      <c r="B17" s="184" t="s">
        <v>63</v>
      </c>
      <c r="C17" s="1936"/>
      <c r="D17" s="1936"/>
      <c r="E17" s="1936"/>
      <c r="F17" s="1936" t="e">
        <f>F15/F16*1000</f>
        <v>#DIV/0!</v>
      </c>
      <c r="G17" s="1937" t="e">
        <f>G15/G16*1000</f>
        <v>#DIV/0!</v>
      </c>
      <c r="H17" s="1936"/>
      <c r="I17" s="1936" t="e">
        <f>I15/I16*1000</f>
        <v>#DIV/0!</v>
      </c>
      <c r="J17" s="1936"/>
      <c r="K17" s="1937" t="e">
        <f>K15/K16*1000</f>
        <v>#DIV/0!</v>
      </c>
      <c r="L17" s="1938" t="e">
        <f>L15/L16*1000</f>
        <v>#DIV/0!</v>
      </c>
      <c r="M17" s="1935" t="e">
        <f>M15/M16*1000</f>
        <v>#DIV/0!</v>
      </c>
      <c r="N17" s="1696" t="e">
        <f t="shared" si="3"/>
        <v>#DIV/0!</v>
      </c>
    </row>
    <row r="18" spans="1:114" s="98" customFormat="1" ht="9" collapsed="1">
      <c r="A18" s="97"/>
      <c r="B18" s="176" t="s">
        <v>125</v>
      </c>
      <c r="C18" s="2241">
        <f>'обор. ш-1'!E103</f>
        <v>3.7418300000000002</v>
      </c>
      <c r="D18" s="2241">
        <f>'обор. ш-1'!G104</f>
        <v>5.7990700000000004</v>
      </c>
      <c r="E18" s="2241">
        <f>'обор. ш-1'!I104</f>
        <v>0.68047999999999997</v>
      </c>
      <c r="F18" s="2241">
        <f>'обор. ш-1'!M103</f>
        <v>52.967649999999999</v>
      </c>
      <c r="G18" s="1918">
        <f t="shared" ref="G18:G24" si="5">SUM(C18:F18)</f>
        <v>63.189030000000002</v>
      </c>
      <c r="H18" s="1695">
        <f>'обор. ш-1'!K103</f>
        <v>0</v>
      </c>
      <c r="I18" s="1695">
        <f>'обор. ш-1'!O103</f>
        <v>0</v>
      </c>
      <c r="J18" s="1695">
        <f>'обор. ш-1'!Q103</f>
        <v>0</v>
      </c>
      <c r="K18" s="1933">
        <f t="shared" ref="K18:K24" si="6">SUM(H18:J18)</f>
        <v>0</v>
      </c>
      <c r="L18" s="1934">
        <f t="shared" ref="L18:L24" si="7">G18+K18</f>
        <v>63.189030000000002</v>
      </c>
      <c r="M18" s="1694">
        <f>'св-во ш-1 план'!L14</f>
        <v>0</v>
      </c>
      <c r="N18" s="1696">
        <f t="shared" si="3"/>
        <v>63.189030000000002</v>
      </c>
    </row>
    <row r="19" spans="1:114" s="94" customFormat="1" ht="9" hidden="1" outlineLevel="1">
      <c r="A19" s="93"/>
      <c r="B19" s="176" t="s">
        <v>126</v>
      </c>
      <c r="C19" s="1695"/>
      <c r="D19" s="1695"/>
      <c r="E19" s="1695"/>
      <c r="F19" s="1695"/>
      <c r="G19" s="1918">
        <f t="shared" si="5"/>
        <v>0</v>
      </c>
      <c r="H19" s="1695"/>
      <c r="I19" s="1695"/>
      <c r="J19" s="1695"/>
      <c r="K19" s="1933">
        <f t="shared" si="6"/>
        <v>0</v>
      </c>
      <c r="L19" s="1934">
        <f t="shared" si="7"/>
        <v>0</v>
      </c>
      <c r="M19" s="1694">
        <f>'св-во ш-1 план'!L15</f>
        <v>0</v>
      </c>
      <c r="N19" s="1696">
        <f t="shared" si="3"/>
        <v>0</v>
      </c>
    </row>
    <row r="20" spans="1:114" s="98" customFormat="1" ht="9" collapsed="1">
      <c r="A20" s="97"/>
      <c r="B20" s="176" t="s">
        <v>127</v>
      </c>
      <c r="C20" s="2241">
        <v>40.99915</v>
      </c>
      <c r="D20" s="2241">
        <v>741.44087999999999</v>
      </c>
      <c r="E20" s="2241">
        <v>75.043450000000007</v>
      </c>
      <c r="F20" s="2241">
        <v>1948.6744699999999</v>
      </c>
      <c r="G20" s="1918">
        <f t="shared" si="5"/>
        <v>2806.1579499999998</v>
      </c>
      <c r="H20" s="2241">
        <v>165.52619000000001</v>
      </c>
      <c r="I20" s="2241">
        <v>1310.33467</v>
      </c>
      <c r="J20" s="2241">
        <v>488.94353000000001</v>
      </c>
      <c r="K20" s="1933">
        <f t="shared" si="6"/>
        <v>1964.80439</v>
      </c>
      <c r="L20" s="1934">
        <f t="shared" si="7"/>
        <v>4770.96234</v>
      </c>
      <c r="M20" s="1694">
        <f>'св-во ш-1 план'!L16</f>
        <v>5568.2604499999998</v>
      </c>
      <c r="N20" s="1696">
        <f t="shared" si="3"/>
        <v>-797.29810999999972</v>
      </c>
    </row>
    <row r="21" spans="1:114" ht="9">
      <c r="A21" s="91"/>
      <c r="B21" s="185" t="s">
        <v>71</v>
      </c>
      <c r="C21" s="2241">
        <f>25.45218+166.80786</f>
        <v>192.26004</v>
      </c>
      <c r="D21" s="2241">
        <f>114.61834+39.77175</f>
        <v>154.39008999999999</v>
      </c>
      <c r="E21" s="2241">
        <v>11.497199999999999</v>
      </c>
      <c r="F21" s="2241">
        <v>291.56304</v>
      </c>
      <c r="G21" s="1918">
        <f t="shared" si="5"/>
        <v>649.71037000000001</v>
      </c>
      <c r="H21" s="2241">
        <f>35.84557+5.06799+1.995</f>
        <v>42.908560000000001</v>
      </c>
      <c r="I21" s="2241">
        <v>251.40236999999999</v>
      </c>
      <c r="J21" s="2241">
        <v>214.40319</v>
      </c>
      <c r="K21" s="1933">
        <f t="shared" si="6"/>
        <v>508.71411999999998</v>
      </c>
      <c r="L21" s="1934">
        <f t="shared" si="7"/>
        <v>1158.4244899999999</v>
      </c>
      <c r="M21" s="1694">
        <f>'св-во ш-1 план'!L17</f>
        <v>1483.28</v>
      </c>
      <c r="N21" s="1696">
        <f>L21-M21</f>
        <v>-324.85551000000009</v>
      </c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</row>
    <row r="22" spans="1:114" s="87" customFormat="1" ht="9">
      <c r="A22" s="86"/>
      <c r="B22" s="88" t="s">
        <v>549</v>
      </c>
      <c r="C22" s="1695"/>
      <c r="D22" s="1695"/>
      <c r="E22" s="1695"/>
      <c r="F22" s="1695"/>
      <c r="G22" s="1918">
        <f t="shared" si="5"/>
        <v>0</v>
      </c>
      <c r="H22" s="2241">
        <v>9.3165499999999994</v>
      </c>
      <c r="I22" s="1695"/>
      <c r="J22" s="1695"/>
      <c r="K22" s="1933">
        <f t="shared" si="6"/>
        <v>9.3165499999999994</v>
      </c>
      <c r="L22" s="1934">
        <f t="shared" si="7"/>
        <v>9.3165499999999994</v>
      </c>
      <c r="M22" s="1694">
        <f>'св-во ш-1 план'!L18</f>
        <v>0</v>
      </c>
      <c r="N22" s="1696">
        <f>L22-M22</f>
        <v>9.3165499999999994</v>
      </c>
    </row>
    <row r="23" spans="1:114" s="87" customFormat="1" ht="9">
      <c r="A23" s="86"/>
      <c r="B23" s="88" t="s">
        <v>73</v>
      </c>
      <c r="C23" s="2241">
        <v>5.3853499999999999</v>
      </c>
      <c r="D23" s="2241">
        <v>377.34046999999998</v>
      </c>
      <c r="E23" s="2241">
        <v>34.050759999999997</v>
      </c>
      <c r="F23" s="2241">
        <v>930.77500999999995</v>
      </c>
      <c r="G23" s="1918">
        <f t="shared" si="5"/>
        <v>1347.55159</v>
      </c>
      <c r="H23" s="2241">
        <v>101.61776</v>
      </c>
      <c r="I23" s="2241">
        <v>1803.27169</v>
      </c>
      <c r="J23" s="2241">
        <v>2287.4927400000001</v>
      </c>
      <c r="K23" s="1933">
        <f t="shared" si="6"/>
        <v>4192.3821900000003</v>
      </c>
      <c r="L23" s="1934">
        <f t="shared" si="7"/>
        <v>5539.9337800000003</v>
      </c>
      <c r="M23" s="1694">
        <f>'св-во ш-1 план'!L19</f>
        <v>5400</v>
      </c>
      <c r="N23" s="1696">
        <f>L23-M23</f>
        <v>139.9337800000003</v>
      </c>
    </row>
    <row r="24" spans="1:114" s="87" customFormat="1" ht="9">
      <c r="A24" s="86"/>
      <c r="B24" s="89" t="s">
        <v>74</v>
      </c>
      <c r="C24" s="2241">
        <f>0.06437+1.60929</f>
        <v>1.6736600000000001</v>
      </c>
      <c r="D24" s="2241">
        <f>4.51037+112.76137</f>
        <v>117.27173999999999</v>
      </c>
      <c r="E24" s="2241">
        <f>0.40707+10.17656</f>
        <v>10.583629999999999</v>
      </c>
      <c r="F24" s="2241">
        <f>11.12601+278.15065</f>
        <v>289.27665999999999</v>
      </c>
      <c r="G24" s="1918">
        <f t="shared" si="5"/>
        <v>418.80568999999997</v>
      </c>
      <c r="H24" s="2241">
        <f>1.2158+30.39505</f>
        <v>31.610850000000003</v>
      </c>
      <c r="I24" s="2241">
        <f>21.55568+538.89271</f>
        <v>560.44839000000002</v>
      </c>
      <c r="J24" s="2241">
        <f>27.34585+683.64735</f>
        <v>710.9932</v>
      </c>
      <c r="K24" s="1933">
        <f t="shared" si="6"/>
        <v>1303.0524399999999</v>
      </c>
      <c r="L24" s="1934">
        <f t="shared" si="7"/>
        <v>1721.8581299999998</v>
      </c>
      <c r="M24" s="1694">
        <f>'св-во ш-1 план'!L20</f>
        <v>1684.7999999999997</v>
      </c>
      <c r="N24" s="1696">
        <f t="shared" si="3"/>
        <v>37.058130000000119</v>
      </c>
    </row>
    <row r="25" spans="1:114" s="87" customFormat="1" ht="8.25">
      <c r="A25" s="86"/>
      <c r="B25" s="88" t="s">
        <v>75</v>
      </c>
      <c r="C25" s="1695">
        <f t="shared" ref="C25:M25" si="8">C26+C27+C28</f>
        <v>0</v>
      </c>
      <c r="D25" s="1695">
        <f t="shared" si="8"/>
        <v>0</v>
      </c>
      <c r="E25" s="1695">
        <f t="shared" si="8"/>
        <v>0</v>
      </c>
      <c r="F25" s="1695">
        <f t="shared" si="8"/>
        <v>0</v>
      </c>
      <c r="G25" s="1933">
        <f t="shared" si="8"/>
        <v>0</v>
      </c>
      <c r="H25" s="1695">
        <f t="shared" si="8"/>
        <v>0</v>
      </c>
      <c r="I25" s="1695">
        <f t="shared" si="8"/>
        <v>29.5</v>
      </c>
      <c r="J25" s="1695">
        <f t="shared" si="8"/>
        <v>0</v>
      </c>
      <c r="K25" s="1933">
        <f t="shared" si="8"/>
        <v>29.5</v>
      </c>
      <c r="L25" s="1939">
        <f t="shared" si="8"/>
        <v>29.5</v>
      </c>
      <c r="M25" s="1798">
        <f t="shared" si="8"/>
        <v>200</v>
      </c>
      <c r="N25" s="1696">
        <f t="shared" si="3"/>
        <v>-170.5</v>
      </c>
    </row>
    <row r="26" spans="1:114" s="87" customFormat="1" ht="9">
      <c r="A26" s="86"/>
      <c r="B26" s="101" t="s">
        <v>130</v>
      </c>
      <c r="C26" s="1695"/>
      <c r="D26" s="1695"/>
      <c r="E26" s="1695"/>
      <c r="F26" s="1695"/>
      <c r="G26" s="1918">
        <f>SUM(C26:F26)</f>
        <v>0</v>
      </c>
      <c r="H26" s="1695"/>
      <c r="I26" s="1695"/>
      <c r="J26" s="1695"/>
      <c r="K26" s="1933">
        <f>SUM(H26:J26)</f>
        <v>0</v>
      </c>
      <c r="L26" s="1934">
        <f t="shared" ref="L26:L34" si="9">G26+K26</f>
        <v>0</v>
      </c>
      <c r="M26" s="1694">
        <f>'св-во ш-1 план'!L22</f>
        <v>200</v>
      </c>
      <c r="N26" s="1696">
        <f t="shared" si="3"/>
        <v>-200</v>
      </c>
    </row>
    <row r="27" spans="1:114" s="324" customFormat="1" ht="9">
      <c r="A27" s="195"/>
      <c r="B27" s="101" t="s">
        <v>77</v>
      </c>
      <c r="C27" s="1695"/>
      <c r="D27" s="1695"/>
      <c r="E27" s="1695"/>
      <c r="F27" s="1695"/>
      <c r="G27" s="1918">
        <f>SUM(C27:F27)</f>
        <v>0</v>
      </c>
      <c r="H27" s="1695"/>
      <c r="I27" s="1695"/>
      <c r="J27" s="1695"/>
      <c r="K27" s="1933">
        <f>SUM(H27:J27)</f>
        <v>0</v>
      </c>
      <c r="L27" s="1934">
        <f t="shared" si="9"/>
        <v>0</v>
      </c>
      <c r="M27" s="1694">
        <f>'св-во ш-1 план'!L23</f>
        <v>0</v>
      </c>
      <c r="N27" s="1696">
        <f t="shared" si="3"/>
        <v>0</v>
      </c>
    </row>
    <row r="28" spans="1:114" ht="16.5">
      <c r="A28" s="91"/>
      <c r="B28" s="101" t="s">
        <v>78</v>
      </c>
      <c r="C28" s="1695"/>
      <c r="D28" s="1695"/>
      <c r="E28" s="1695"/>
      <c r="F28" s="1695"/>
      <c r="G28" s="1918">
        <f>SUM(C28:F28)</f>
        <v>0</v>
      </c>
      <c r="H28" s="1695"/>
      <c r="I28" s="2241">
        <v>29.5</v>
      </c>
      <c r="J28" s="1695"/>
      <c r="K28" s="1933">
        <f>SUM(H28:J28)</f>
        <v>29.5</v>
      </c>
      <c r="L28" s="1934">
        <f t="shared" si="9"/>
        <v>29.5</v>
      </c>
      <c r="M28" s="1694">
        <f>'св-во ш-1 план'!L24</f>
        <v>0</v>
      </c>
      <c r="N28" s="1696">
        <f t="shared" si="3"/>
        <v>29.5</v>
      </c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</row>
    <row r="29" spans="1:114" s="87" customFormat="1" ht="8.25">
      <c r="A29" s="86"/>
      <c r="B29" s="88" t="s">
        <v>79</v>
      </c>
      <c r="C29" s="1930">
        <f t="shared" ref="C29:M29" si="10">SUM(C30:C34)</f>
        <v>3.532</v>
      </c>
      <c r="D29" s="1930">
        <f t="shared" si="10"/>
        <v>635.54314999999997</v>
      </c>
      <c r="E29" s="1930">
        <f t="shared" si="10"/>
        <v>104.92444</v>
      </c>
      <c r="F29" s="1930">
        <f t="shared" si="10"/>
        <v>638.05130999999994</v>
      </c>
      <c r="G29" s="1931">
        <f t="shared" si="10"/>
        <v>1382.0509</v>
      </c>
      <c r="H29" s="1930">
        <f t="shared" si="10"/>
        <v>211.51130000000001</v>
      </c>
      <c r="I29" s="1930">
        <f t="shared" si="10"/>
        <v>424.33663999999999</v>
      </c>
      <c r="J29" s="1930">
        <f t="shared" si="10"/>
        <v>806.05801999999994</v>
      </c>
      <c r="K29" s="1931">
        <f t="shared" si="10"/>
        <v>1441.9059599999998</v>
      </c>
      <c r="L29" s="1934">
        <f t="shared" si="9"/>
        <v>2823.9568599999998</v>
      </c>
      <c r="M29" s="1798">
        <f t="shared" si="10"/>
        <v>2729.9999999999991</v>
      </c>
      <c r="N29" s="1696">
        <f t="shared" si="3"/>
        <v>93.956860000000688</v>
      </c>
    </row>
    <row r="30" spans="1:114" ht="9">
      <c r="A30" s="91"/>
      <c r="B30" s="186" t="s">
        <v>524</v>
      </c>
      <c r="C30" s="2241">
        <v>3.532</v>
      </c>
      <c r="D30" s="2241">
        <v>1.3049999999999999</v>
      </c>
      <c r="E30" s="1695"/>
      <c r="F30" s="1695"/>
      <c r="G30" s="1918">
        <f>SUM(C30:F30)</f>
        <v>4.8369999999999997</v>
      </c>
      <c r="H30" s="2241">
        <f>165.586+4.87</f>
        <v>170.45600000000002</v>
      </c>
      <c r="I30" s="1695"/>
      <c r="J30" s="2106">
        <f>-4.87</f>
        <v>-4.87</v>
      </c>
      <c r="K30" s="1933">
        <f>SUM(H30:J30)</f>
        <v>165.58600000000001</v>
      </c>
      <c r="L30" s="1934">
        <f t="shared" si="9"/>
        <v>170.423</v>
      </c>
      <c r="M30" s="1694">
        <f>'св-во ш-1 план'!L26</f>
        <v>2729.9999999999991</v>
      </c>
      <c r="N30" s="1696">
        <f t="shared" si="3"/>
        <v>-2559.5769999999993</v>
      </c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</row>
    <row r="31" spans="1:114" ht="9">
      <c r="A31" s="91"/>
      <c r="B31" s="187" t="s">
        <v>131</v>
      </c>
      <c r="C31" s="1695"/>
      <c r="D31" s="1695"/>
      <c r="E31" s="1695"/>
      <c r="F31" s="1695"/>
      <c r="G31" s="1918">
        <f>SUM(C31:F31)</f>
        <v>0</v>
      </c>
      <c r="H31" s="1695"/>
      <c r="I31" s="1695"/>
      <c r="J31" s="1695"/>
      <c r="K31" s="1933">
        <f>SUM(H31:J31)</f>
        <v>0</v>
      </c>
      <c r="L31" s="1934">
        <f t="shared" si="9"/>
        <v>0</v>
      </c>
      <c r="M31" s="1694">
        <f>'св-во ш-1 план'!L27</f>
        <v>0</v>
      </c>
      <c r="N31" s="1696">
        <f t="shared" si="3"/>
        <v>0</v>
      </c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</row>
    <row r="32" spans="1:114" ht="9">
      <c r="A32" s="91"/>
      <c r="B32" s="187" t="s">
        <v>82</v>
      </c>
      <c r="C32" s="1695"/>
      <c r="D32" s="1695"/>
      <c r="E32" s="1695"/>
      <c r="F32" s="1695"/>
      <c r="G32" s="1918">
        <f>SUM(C32:F32)</f>
        <v>0</v>
      </c>
      <c r="H32" s="1695"/>
      <c r="I32" s="1695"/>
      <c r="J32" s="1695"/>
      <c r="K32" s="1933">
        <f>SUM(H32:J32)</f>
        <v>0</v>
      </c>
      <c r="L32" s="1934">
        <f t="shared" si="9"/>
        <v>0</v>
      </c>
      <c r="M32" s="1694">
        <f>'св-во ш-1 план'!L28</f>
        <v>0</v>
      </c>
      <c r="N32" s="1696">
        <f t="shared" si="3"/>
        <v>0</v>
      </c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</row>
    <row r="33" spans="1:114" s="87" customFormat="1" ht="9">
      <c r="A33" s="86"/>
      <c r="B33" s="187" t="s">
        <v>83</v>
      </c>
      <c r="C33" s="1695"/>
      <c r="D33" s="1695"/>
      <c r="E33" s="1695"/>
      <c r="F33" s="1695"/>
      <c r="G33" s="1918">
        <f>SUM(C33:F33)</f>
        <v>0</v>
      </c>
      <c r="H33" s="1695"/>
      <c r="I33" s="1695"/>
      <c r="J33" s="1695"/>
      <c r="K33" s="1933">
        <f>SUM(H33:J33)</f>
        <v>0</v>
      </c>
      <c r="L33" s="1934">
        <f t="shared" si="9"/>
        <v>0</v>
      </c>
      <c r="M33" s="1694">
        <f>'св-во ш-1 план'!L29</f>
        <v>0</v>
      </c>
      <c r="N33" s="1696">
        <f t="shared" si="3"/>
        <v>0</v>
      </c>
    </row>
    <row r="34" spans="1:114" s="87" customFormat="1" ht="9.75" thickBot="1">
      <c r="A34" s="86"/>
      <c r="B34" s="190" t="s">
        <v>683</v>
      </c>
      <c r="C34" s="1695"/>
      <c r="D34" s="2241">
        <v>634.23815000000002</v>
      </c>
      <c r="E34" s="2241">
        <f>31.0452+73.87924</f>
        <v>104.92444</v>
      </c>
      <c r="F34" s="2241">
        <v>638.05130999999994</v>
      </c>
      <c r="G34" s="1918">
        <f>SUM(C34:F34)</f>
        <v>1377.2139</v>
      </c>
      <c r="H34" s="2241">
        <v>41.055300000000003</v>
      </c>
      <c r="I34" s="2241">
        <v>424.33663999999999</v>
      </c>
      <c r="J34" s="2241">
        <v>810.92801999999995</v>
      </c>
      <c r="K34" s="1933">
        <f>SUM(H34:J34)</f>
        <v>1276.3199599999998</v>
      </c>
      <c r="L34" s="1934">
        <f t="shared" si="9"/>
        <v>2653.5338599999995</v>
      </c>
      <c r="M34" s="1694">
        <f>'св-во ш-1 план'!L30</f>
        <v>0</v>
      </c>
      <c r="N34" s="1696">
        <f t="shared" si="3"/>
        <v>2653.5338599999995</v>
      </c>
    </row>
    <row r="35" spans="1:114" s="87" customFormat="1" ht="9" thickBot="1">
      <c r="A35" s="103"/>
      <c r="B35" s="193" t="s">
        <v>18</v>
      </c>
      <c r="C35" s="1940">
        <f t="shared" ref="C35:M35" si="11">C11+C22+C23+C24+C29</f>
        <v>446.95608999999996</v>
      </c>
      <c r="D35" s="1940">
        <f t="shared" si="11"/>
        <v>15989.370989999999</v>
      </c>
      <c r="E35" s="1940">
        <f t="shared" si="11"/>
        <v>1639.4385200000002</v>
      </c>
      <c r="F35" s="1940">
        <f t="shared" si="11"/>
        <v>4821.2684899999995</v>
      </c>
      <c r="G35" s="1941">
        <f t="shared" si="11"/>
        <v>22897.034089999997</v>
      </c>
      <c r="H35" s="1940">
        <f>H11+H22+H23+H24+H29</f>
        <v>3598.6256999999996</v>
      </c>
      <c r="I35" s="1940">
        <f>I11+I22+I23+I24+I29+I25</f>
        <v>26081.128270000005</v>
      </c>
      <c r="J35" s="1940">
        <f t="shared" si="11"/>
        <v>67629.245189999987</v>
      </c>
      <c r="K35" s="1941">
        <f t="shared" si="11"/>
        <v>97308.999160000021</v>
      </c>
      <c r="L35" s="1942">
        <f t="shared" si="11"/>
        <v>120206.03325000001</v>
      </c>
      <c r="M35" s="1697">
        <f t="shared" si="11"/>
        <v>121663.12747988047</v>
      </c>
      <c r="N35" s="1696">
        <f t="shared" si="3"/>
        <v>-1457.0942298804584</v>
      </c>
    </row>
    <row r="36" spans="1:114" ht="8.25">
      <c r="A36" s="104"/>
      <c r="B36" s="192" t="s">
        <v>102</v>
      </c>
      <c r="C36" s="1943">
        <f t="shared" ref="C36:K36" si="12">SUM(C37:C42)</f>
        <v>0</v>
      </c>
      <c r="D36" s="1943">
        <f t="shared" si="12"/>
        <v>0</v>
      </c>
      <c r="E36" s="1943">
        <f t="shared" si="12"/>
        <v>0</v>
      </c>
      <c r="F36" s="1943">
        <f t="shared" si="12"/>
        <v>0</v>
      </c>
      <c r="G36" s="1944">
        <f t="shared" si="12"/>
        <v>0</v>
      </c>
      <c r="H36" s="1943">
        <f t="shared" si="12"/>
        <v>0</v>
      </c>
      <c r="I36" s="1943">
        <f t="shared" si="12"/>
        <v>0</v>
      </c>
      <c r="J36" s="1943">
        <f t="shared" si="12"/>
        <v>0</v>
      </c>
      <c r="K36" s="1944">
        <f t="shared" si="12"/>
        <v>0</v>
      </c>
      <c r="L36" s="1934">
        <f t="shared" ref="L36:L44" si="13">G36+K36</f>
        <v>0</v>
      </c>
      <c r="M36" s="1694">
        <f>'св-во ш-1 план'!L32</f>
        <v>0</v>
      </c>
      <c r="N36" s="1696">
        <f t="shared" si="3"/>
        <v>0</v>
      </c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</row>
    <row r="37" spans="1:114" ht="8.25">
      <c r="A37" s="105"/>
      <c r="B37" s="282" t="s">
        <v>422</v>
      </c>
      <c r="C37" s="1945"/>
      <c r="D37" s="1945"/>
      <c r="E37" s="1945"/>
      <c r="F37" s="1945"/>
      <c r="G37" s="1946">
        <f t="shared" ref="G37:G44" si="14">SUM(C37:F37)</f>
        <v>0</v>
      </c>
      <c r="H37" s="1945"/>
      <c r="I37" s="1945"/>
      <c r="J37" s="1945"/>
      <c r="K37" s="1946">
        <f t="shared" ref="K37:K44" si="15">SUM(H37:J37)</f>
        <v>0</v>
      </c>
      <c r="L37" s="1934">
        <f t="shared" si="13"/>
        <v>0</v>
      </c>
      <c r="M37" s="1694">
        <f>'св-во ш-1 план'!L33</f>
        <v>0</v>
      </c>
      <c r="N37" s="1696">
        <f t="shared" si="3"/>
        <v>0</v>
      </c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85"/>
      <c r="DA37" s="85"/>
      <c r="DB37" s="85"/>
      <c r="DC37" s="85"/>
      <c r="DD37" s="85"/>
      <c r="DE37" s="85"/>
      <c r="DF37" s="85"/>
      <c r="DG37" s="85"/>
      <c r="DH37" s="85"/>
      <c r="DI37" s="85"/>
      <c r="DJ37" s="85"/>
    </row>
    <row r="38" spans="1:114" ht="8.25">
      <c r="A38" s="105"/>
      <c r="B38" s="282" t="s">
        <v>461</v>
      </c>
      <c r="C38" s="1945"/>
      <c r="D38" s="1945"/>
      <c r="E38" s="1945"/>
      <c r="F38" s="1945"/>
      <c r="G38" s="1946">
        <f t="shared" si="14"/>
        <v>0</v>
      </c>
      <c r="H38" s="1945"/>
      <c r="I38" s="1945"/>
      <c r="J38" s="1945"/>
      <c r="K38" s="1946">
        <f t="shared" si="15"/>
        <v>0</v>
      </c>
      <c r="L38" s="1934">
        <f t="shared" si="13"/>
        <v>0</v>
      </c>
      <c r="M38" s="1694">
        <f>'св-во ш-1 план'!L34</f>
        <v>0</v>
      </c>
      <c r="N38" s="1696">
        <f t="shared" si="3"/>
        <v>0</v>
      </c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5"/>
    </row>
    <row r="39" spans="1:114" s="87" customFormat="1" ht="8.25">
      <c r="A39" s="282"/>
      <c r="B39" s="282" t="s">
        <v>462</v>
      </c>
      <c r="C39" s="1947"/>
      <c r="D39" s="1947"/>
      <c r="E39" s="1947"/>
      <c r="F39" s="1947"/>
      <c r="G39" s="1946">
        <f t="shared" si="14"/>
        <v>0</v>
      </c>
      <c r="H39" s="1947"/>
      <c r="I39" s="1947"/>
      <c r="J39" s="1947"/>
      <c r="K39" s="1946">
        <f t="shared" si="15"/>
        <v>0</v>
      </c>
      <c r="L39" s="1934">
        <f t="shared" si="13"/>
        <v>0</v>
      </c>
      <c r="M39" s="1694">
        <f>'св-во ш-1 план'!L35</f>
        <v>0</v>
      </c>
      <c r="N39" s="1696">
        <f t="shared" si="3"/>
        <v>0</v>
      </c>
    </row>
    <row r="40" spans="1:114" s="87" customFormat="1" ht="8.25">
      <c r="A40" s="282"/>
      <c r="B40" s="105" t="s">
        <v>133</v>
      </c>
      <c r="C40" s="1947"/>
      <c r="D40" s="1947"/>
      <c r="E40" s="1947"/>
      <c r="F40" s="1947"/>
      <c r="G40" s="1946">
        <f t="shared" si="14"/>
        <v>0</v>
      </c>
      <c r="H40" s="1947"/>
      <c r="I40" s="1947"/>
      <c r="J40" s="1947"/>
      <c r="K40" s="1946">
        <f t="shared" si="15"/>
        <v>0</v>
      </c>
      <c r="L40" s="1934">
        <f t="shared" si="13"/>
        <v>0</v>
      </c>
      <c r="M40" s="1694">
        <f>'св-во ш-1 план'!L36</f>
        <v>0</v>
      </c>
      <c r="N40" s="1696">
        <f t="shared" si="3"/>
        <v>0</v>
      </c>
    </row>
    <row r="41" spans="1:114" s="87" customFormat="1" ht="8.25">
      <c r="A41" s="282"/>
      <c r="B41" s="105" t="s">
        <v>103</v>
      </c>
      <c r="C41" s="1947"/>
      <c r="D41" s="1947"/>
      <c r="E41" s="1947"/>
      <c r="F41" s="1947"/>
      <c r="G41" s="1946">
        <f t="shared" si="14"/>
        <v>0</v>
      </c>
      <c r="H41" s="1947"/>
      <c r="I41" s="1947"/>
      <c r="J41" s="1947"/>
      <c r="K41" s="1946">
        <f t="shared" si="15"/>
        <v>0</v>
      </c>
      <c r="L41" s="1934">
        <f t="shared" si="13"/>
        <v>0</v>
      </c>
      <c r="M41" s="1694">
        <f>'св-во ш-1 план'!L37</f>
        <v>0</v>
      </c>
      <c r="N41" s="1696">
        <f t="shared" si="3"/>
        <v>0</v>
      </c>
    </row>
    <row r="42" spans="1:114" s="87" customFormat="1" ht="8.25">
      <c r="A42" s="282"/>
      <c r="B42" s="88" t="s">
        <v>484</v>
      </c>
      <c r="C42" s="1947"/>
      <c r="D42" s="1947"/>
      <c r="E42" s="1947"/>
      <c r="F42" s="1947"/>
      <c r="G42" s="1946">
        <f t="shared" si="14"/>
        <v>0</v>
      </c>
      <c r="H42" s="1947"/>
      <c r="I42" s="1947"/>
      <c r="J42" s="1947">
        <v>0</v>
      </c>
      <c r="K42" s="1946">
        <f t="shared" si="15"/>
        <v>0</v>
      </c>
      <c r="L42" s="1934">
        <f t="shared" si="13"/>
        <v>0</v>
      </c>
      <c r="M42" s="1694">
        <f>'св-во ш-1 план'!L38</f>
        <v>0</v>
      </c>
      <c r="N42" s="1696">
        <f t="shared" si="3"/>
        <v>0</v>
      </c>
    </row>
    <row r="43" spans="1:114" s="87" customFormat="1" ht="8.25">
      <c r="A43" s="100"/>
      <c r="B43" s="88" t="s">
        <v>89</v>
      </c>
      <c r="C43" s="1947">
        <f>'вспом.пр-ва факт'!AC59</f>
        <v>29.235370000000003</v>
      </c>
      <c r="D43" s="1947">
        <f>'вспом.пр-ва факт'!AC60</f>
        <v>1366.4024300000001</v>
      </c>
      <c r="E43" s="1947">
        <f>'вспом.пр-ва факт'!AC61</f>
        <v>122.68029</v>
      </c>
      <c r="F43" s="1947">
        <f>'вспом.пр-ва факт'!AC62</f>
        <v>3572.7619199999999</v>
      </c>
      <c r="G43" s="1946">
        <f t="shared" si="14"/>
        <v>5091.0800099999997</v>
      </c>
      <c r="H43" s="1947">
        <f>'вспом.пр-ва факт'!AC64</f>
        <v>391.61264999999997</v>
      </c>
      <c r="I43" s="1947">
        <f>'вспом.пр-ва факт'!AC65</f>
        <v>6572.9205999999995</v>
      </c>
      <c r="J43" s="1947">
        <f>'вспом.пр-ва факт'!AC66</f>
        <v>8246.3747700000004</v>
      </c>
      <c r="K43" s="1946">
        <f t="shared" si="15"/>
        <v>15210.908019999999</v>
      </c>
      <c r="L43" s="1934">
        <f t="shared" si="13"/>
        <v>20301.98803</v>
      </c>
      <c r="M43" s="1694">
        <f>'св-во ш-1 план'!L39</f>
        <v>17562.272918899969</v>
      </c>
      <c r="N43" s="1696">
        <f t="shared" si="3"/>
        <v>2739.7151111000312</v>
      </c>
    </row>
    <row r="44" spans="1:114" ht="9" thickBot="1">
      <c r="A44" s="102"/>
      <c r="B44" s="187" t="s">
        <v>107</v>
      </c>
      <c r="C44" s="1947">
        <f>'вспом.пр-ва факт'!AE59</f>
        <v>169.53505000000001</v>
      </c>
      <c r="D44" s="1947">
        <f>'вспом.пр-ва факт'!AE60</f>
        <v>1727.8004000000001</v>
      </c>
      <c r="E44" s="1947">
        <f>'вспом.пр-ва факт'!AE61</f>
        <v>212.5591</v>
      </c>
      <c r="F44" s="1947">
        <f>'вспом.пр-ва факт'!AE62</f>
        <v>4881.6735099999996</v>
      </c>
      <c r="G44" s="1946">
        <f t="shared" si="14"/>
        <v>6991.5680599999996</v>
      </c>
      <c r="H44" s="1947">
        <f>'вспом.пр-ва факт'!AE64</f>
        <v>600.65794000000005</v>
      </c>
      <c r="I44" s="1947">
        <f>'вспом.пр-ва факт'!AE65</f>
        <v>7114.0773799999997</v>
      </c>
      <c r="J44" s="1947">
        <f>'вспом.пр-ва факт'!AE66</f>
        <v>7874.4166800000003</v>
      </c>
      <c r="K44" s="1946">
        <f t="shared" si="15"/>
        <v>15589.152</v>
      </c>
      <c r="L44" s="1934">
        <f t="shared" si="13"/>
        <v>22580.72006</v>
      </c>
      <c r="M44" s="1694">
        <f>'св-во ш-1 план'!L40</f>
        <v>17907.527707953912</v>
      </c>
      <c r="N44" s="1948">
        <f t="shared" si="3"/>
        <v>4673.1923520460878</v>
      </c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  <c r="CR44" s="85"/>
      <c r="CS44" s="85"/>
      <c r="CT44" s="85"/>
      <c r="CU44" s="8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</row>
    <row r="45" spans="1:114" s="87" customFormat="1" ht="8.25">
      <c r="A45" s="107"/>
      <c r="B45" s="280" t="s">
        <v>108</v>
      </c>
      <c r="C45" s="1949">
        <f t="shared" ref="C45:L45" si="16">C35+C36+C43+C44</f>
        <v>645.72650999999996</v>
      </c>
      <c r="D45" s="1949">
        <f t="shared" si="16"/>
        <v>19083.573819999998</v>
      </c>
      <c r="E45" s="1949">
        <f t="shared" si="16"/>
        <v>1974.6779100000001</v>
      </c>
      <c r="F45" s="1949">
        <f t="shared" si="16"/>
        <v>13275.70392</v>
      </c>
      <c r="G45" s="1950">
        <f t="shared" si="16"/>
        <v>34979.682159999997</v>
      </c>
      <c r="H45" s="1949">
        <f t="shared" si="16"/>
        <v>4590.8962899999997</v>
      </c>
      <c r="I45" s="1949">
        <f t="shared" si="16"/>
        <v>39768.126250000008</v>
      </c>
      <c r="J45" s="1949">
        <f t="shared" si="16"/>
        <v>83750.036639999977</v>
      </c>
      <c r="K45" s="1950">
        <f t="shared" si="16"/>
        <v>128109.05918000003</v>
      </c>
      <c r="L45" s="1951">
        <f t="shared" si="16"/>
        <v>163088.74134000001</v>
      </c>
      <c r="M45" s="1697">
        <f>M35+M36+M43+M44</f>
        <v>157132.92810673435</v>
      </c>
      <c r="N45" s="1696">
        <f t="shared" si="3"/>
        <v>5955.8132332656533</v>
      </c>
    </row>
    <row r="46" spans="1:114" ht="9" thickBot="1">
      <c r="A46" s="105"/>
      <c r="B46" s="186" t="s">
        <v>110</v>
      </c>
      <c r="C46" s="1947">
        <f>'вспом.пр-ва факт'!AK59</f>
        <v>62.390880000000003</v>
      </c>
      <c r="D46" s="1947">
        <f>'вспом.пр-ва факт'!AK60</f>
        <v>616.16112999999996</v>
      </c>
      <c r="E46" s="1947">
        <f>'вспом.пр-ва факт'!AK61</f>
        <v>69.919160000000005</v>
      </c>
      <c r="F46" s="1947">
        <f>'вспом.пр-ва факт'!AK62</f>
        <v>1747.9300599999999</v>
      </c>
      <c r="G46" s="1946">
        <f>SUM(C46:F46)</f>
        <v>2496.4012299999999</v>
      </c>
      <c r="H46" s="1947">
        <f>'вспом.пр-ва факт'!AK64</f>
        <v>214.93483000000001</v>
      </c>
      <c r="I46" s="1947">
        <f>'вспом.пр-ва факт'!AK65</f>
        <v>2533.8786300000002</v>
      </c>
      <c r="J46" s="1947">
        <f>'вспом.пр-ва факт'!AK66</f>
        <v>2832.4257600000001</v>
      </c>
      <c r="K46" s="1946">
        <f t="shared" ref="K46" si="17">SUM(H46:J46)</f>
        <v>5581.2392200000004</v>
      </c>
      <c r="L46" s="1934">
        <f t="shared" ref="L46" si="18">G46+K46</f>
        <v>8077.6404500000008</v>
      </c>
      <c r="M46" s="1694">
        <f>'св-во ш-1 план'!L42</f>
        <v>5853.1877290142302</v>
      </c>
      <c r="N46" s="1696">
        <f t="shared" si="3"/>
        <v>2224.4527209857706</v>
      </c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</row>
    <row r="47" spans="1:114" s="87" customFormat="1" ht="9" thickBot="1">
      <c r="A47" s="177"/>
      <c r="B47" s="283" t="s">
        <v>112</v>
      </c>
      <c r="C47" s="1952">
        <f t="shared" ref="C47:M47" si="19">C45+C46</f>
        <v>708.11739</v>
      </c>
      <c r="D47" s="1952">
        <f t="shared" si="19"/>
        <v>19699.734949999998</v>
      </c>
      <c r="E47" s="1952">
        <f t="shared" si="19"/>
        <v>2044.59707</v>
      </c>
      <c r="F47" s="1952">
        <f t="shared" si="19"/>
        <v>15023.633980000001</v>
      </c>
      <c r="G47" s="1950">
        <f t="shared" si="19"/>
        <v>37476.08339</v>
      </c>
      <c r="H47" s="1952">
        <f t="shared" si="19"/>
        <v>4805.8311199999998</v>
      </c>
      <c r="I47" s="1952">
        <f t="shared" si="19"/>
        <v>42302.004880000008</v>
      </c>
      <c r="J47" s="1952">
        <f t="shared" si="19"/>
        <v>86582.462399999975</v>
      </c>
      <c r="K47" s="1950">
        <f t="shared" si="19"/>
        <v>133690.29840000003</v>
      </c>
      <c r="L47" s="1951">
        <f t="shared" si="19"/>
        <v>171166.38179000001</v>
      </c>
      <c r="M47" s="1697">
        <f t="shared" si="19"/>
        <v>162986.11583574858</v>
      </c>
      <c r="N47" s="1696">
        <f t="shared" si="3"/>
        <v>8180.2659542514302</v>
      </c>
    </row>
    <row r="48" spans="1:114" s="87" customFormat="1" ht="9" thickBot="1">
      <c r="A48" s="177"/>
      <c r="B48" s="284" t="s">
        <v>329</v>
      </c>
      <c r="C48" s="1953"/>
      <c r="D48" s="1953"/>
      <c r="E48" s="1953"/>
      <c r="F48" s="1953"/>
      <c r="G48" s="1946">
        <f>SUM(C48:F48)</f>
        <v>0</v>
      </c>
      <c r="H48" s="1953"/>
      <c r="I48" s="1953"/>
      <c r="J48" s="1953"/>
      <c r="K48" s="1946">
        <f>SUM(H48:J48)</f>
        <v>0</v>
      </c>
      <c r="L48" s="1954">
        <f>SUM(I48:K48)</f>
        <v>0</v>
      </c>
      <c r="M48" s="1694">
        <f>'св-во ш-1 план'!L44</f>
        <v>0</v>
      </c>
      <c r="N48" s="1696">
        <f t="shared" si="3"/>
        <v>0</v>
      </c>
    </row>
    <row r="49" spans="1:114" s="87" customFormat="1" ht="9" thickBot="1">
      <c r="A49" s="177"/>
      <c r="B49" s="283" t="s">
        <v>330</v>
      </c>
      <c r="C49" s="2242">
        <f t="shared" ref="C49:M49" si="20">C47-C48</f>
        <v>708.11739</v>
      </c>
      <c r="D49" s="2242">
        <f t="shared" si="20"/>
        <v>19699.734949999998</v>
      </c>
      <c r="E49" s="2242">
        <f t="shared" si="20"/>
        <v>2044.59707</v>
      </c>
      <c r="F49" s="2242">
        <f t="shared" si="20"/>
        <v>15023.633980000001</v>
      </c>
      <c r="G49" s="1950">
        <f t="shared" si="20"/>
        <v>37476.08339</v>
      </c>
      <c r="H49" s="2242">
        <f t="shared" si="20"/>
        <v>4805.8311199999998</v>
      </c>
      <c r="I49" s="2242">
        <f t="shared" si="20"/>
        <v>42302.004880000008</v>
      </c>
      <c r="J49" s="2242">
        <f t="shared" si="20"/>
        <v>86582.462399999975</v>
      </c>
      <c r="K49" s="1950">
        <f t="shared" si="20"/>
        <v>133690.29840000003</v>
      </c>
      <c r="L49" s="1951">
        <f t="shared" si="20"/>
        <v>171166.38179000001</v>
      </c>
      <c r="M49" s="1697">
        <f t="shared" si="20"/>
        <v>162986.11583574858</v>
      </c>
      <c r="N49" s="1696">
        <f t="shared" si="3"/>
        <v>8180.2659542514302</v>
      </c>
    </row>
    <row r="50" spans="1:114" s="87" customFormat="1" ht="9" thickBot="1">
      <c r="A50" s="103"/>
      <c r="B50" s="284" t="s">
        <v>109</v>
      </c>
      <c r="C50" s="1947"/>
      <c r="D50" s="1947"/>
      <c r="E50" s="1947"/>
      <c r="F50" s="1947">
        <f t="shared" ref="F50:L50" si="21">F49/F7</f>
        <v>94.235783247400065</v>
      </c>
      <c r="G50" s="1955">
        <f t="shared" si="21"/>
        <v>235.06883061733973</v>
      </c>
      <c r="H50" s="1947">
        <f t="shared" si="21"/>
        <v>148.5895284914819</v>
      </c>
      <c r="I50" s="1947">
        <f t="shared" si="21"/>
        <v>74.449801353408617</v>
      </c>
      <c r="J50" s="2332">
        <f t="shared" si="21"/>
        <v>71.298783804815841</v>
      </c>
      <c r="K50" s="1955">
        <f t="shared" si="21"/>
        <v>73.662665746137961</v>
      </c>
      <c r="L50" s="1954">
        <f t="shared" si="21"/>
        <v>86.696152756005233</v>
      </c>
      <c r="M50" s="1954">
        <f>M49/L6</f>
        <v>85.797643672693354</v>
      </c>
      <c r="N50" s="1696">
        <f t="shared" si="3"/>
        <v>0.89850908331187895</v>
      </c>
    </row>
    <row r="51" spans="1:114" ht="9" thickBot="1">
      <c r="A51" s="105"/>
      <c r="B51" s="186" t="s">
        <v>357</v>
      </c>
      <c r="C51" s="1956">
        <f>C49/C3*1000</f>
        <v>194.03134401972875</v>
      </c>
      <c r="D51" s="1956">
        <f>D49/D3*1000</f>
        <v>82.013371898177141</v>
      </c>
      <c r="E51" s="1956">
        <f>E49/E3*1000</f>
        <v>110.36961241565452</v>
      </c>
      <c r="F51" s="1956">
        <f>F49/F3*1000</f>
        <v>27.305719146275631</v>
      </c>
      <c r="G51" s="1957"/>
      <c r="H51" s="1956">
        <f>H49/H3*1000</f>
        <v>87.206585979896403</v>
      </c>
      <c r="I51" s="1956">
        <f>I49/I3*1000</f>
        <v>41.488111845863777</v>
      </c>
      <c r="J51" s="1956">
        <f>J49/J3*1000</f>
        <v>57.032273499454242</v>
      </c>
      <c r="K51" s="1957">
        <f>K49/K4*1000</f>
        <v>49.481039984099787</v>
      </c>
      <c r="L51" s="1954">
        <f>L49/L4*1000</f>
        <v>47.993193775249047</v>
      </c>
      <c r="M51" s="1954">
        <f>M49/L4*1000</f>
        <v>45.699536078160314</v>
      </c>
      <c r="N51" s="1696">
        <f t="shared" si="3"/>
        <v>2.293657697088733</v>
      </c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</row>
    <row r="52" spans="1:114" ht="9" thickBot="1">
      <c r="A52" s="178"/>
      <c r="B52" s="88" t="s">
        <v>331</v>
      </c>
      <c r="C52" s="1947"/>
      <c r="D52" s="1947"/>
      <c r="E52" s="1947"/>
      <c r="F52" s="1947"/>
      <c r="G52" s="1955"/>
      <c r="H52" s="1947"/>
      <c r="I52" s="1945"/>
      <c r="J52" s="1945"/>
      <c r="K52" s="1946"/>
      <c r="L52" s="1954"/>
      <c r="M52" s="1694">
        <f>'св-во шув-2 план'!L42</f>
        <v>0</v>
      </c>
      <c r="N52" s="1696">
        <f t="shared" si="3"/>
        <v>0</v>
      </c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</row>
    <row r="53" spans="1:114" s="87" customFormat="1" ht="8.25">
      <c r="A53" s="109"/>
      <c r="B53" s="189" t="s">
        <v>136</v>
      </c>
      <c r="C53" s="1958"/>
      <c r="D53" s="1958"/>
      <c r="E53" s="1958"/>
      <c r="F53" s="1958"/>
      <c r="G53" s="1955"/>
      <c r="H53" s="1958"/>
      <c r="I53" s="1958"/>
      <c r="J53" s="1958"/>
      <c r="K53" s="1955"/>
      <c r="L53" s="1959"/>
      <c r="M53" s="1694">
        <f>'св-во шув-2 план'!L43</f>
        <v>0</v>
      </c>
      <c r="N53" s="1696">
        <f t="shared" si="3"/>
        <v>0</v>
      </c>
    </row>
  </sheetData>
  <mergeCells count="3">
    <mergeCell ref="C10:L10"/>
    <mergeCell ref="M2:M9"/>
    <mergeCell ref="N2:N9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Q62"/>
  <sheetViews>
    <sheetView zoomScale="110" zoomScaleNormal="110" workbookViewId="0">
      <pane xSplit="2" ySplit="2" topLeftCell="H36" activePane="bottomRight" state="frozen"/>
      <selection pane="topRight" activeCell="C1" sqref="C1"/>
      <selection pane="bottomLeft" activeCell="A3" sqref="A3"/>
      <selection pane="bottomRight" activeCell="O59" sqref="O59"/>
    </sheetView>
  </sheetViews>
  <sheetFormatPr defaultRowHeight="13.5" customHeight="1" outlineLevelRow="1"/>
  <cols>
    <col min="1" max="1" width="2.42578125" style="85" customWidth="1"/>
    <col min="2" max="2" width="33" style="85" customWidth="1"/>
    <col min="3" max="13" width="9.140625" style="85"/>
    <col min="14" max="14" width="3.140625" style="83" customWidth="1"/>
    <col min="15" max="16384" width="9.140625" style="85"/>
  </cols>
  <sheetData>
    <row r="1" spans="1:17" s="83" customFormat="1" ht="13.5" customHeight="1" thickBot="1">
      <c r="A1" s="81" t="s">
        <v>658</v>
      </c>
      <c r="B1" s="82"/>
      <c r="C1" s="82"/>
      <c r="D1" s="82"/>
      <c r="E1" s="82"/>
      <c r="F1" s="82"/>
      <c r="G1" s="82"/>
      <c r="H1" s="82"/>
      <c r="I1" s="82"/>
      <c r="J1" s="82"/>
      <c r="O1" s="82"/>
    </row>
    <row r="2" spans="1:17" ht="24" customHeight="1">
      <c r="A2" s="84"/>
      <c r="B2" s="179"/>
      <c r="C2" s="179" t="s">
        <v>349</v>
      </c>
      <c r="D2" s="179" t="s">
        <v>350</v>
      </c>
      <c r="E2" s="179" t="s">
        <v>351</v>
      </c>
      <c r="F2" s="179" t="s">
        <v>353</v>
      </c>
      <c r="G2" s="198" t="s">
        <v>360</v>
      </c>
      <c r="H2" s="179" t="s">
        <v>352</v>
      </c>
      <c r="I2" s="179" t="s">
        <v>354</v>
      </c>
      <c r="J2" s="198" t="s">
        <v>483</v>
      </c>
      <c r="K2" s="209" t="s">
        <v>459</v>
      </c>
      <c r="L2" s="2529" t="s">
        <v>541</v>
      </c>
      <c r="M2" s="2532" t="s">
        <v>542</v>
      </c>
      <c r="N2" s="763"/>
      <c r="O2" s="179" t="s">
        <v>460</v>
      </c>
      <c r="P2" s="2533" t="s">
        <v>541</v>
      </c>
      <c r="Q2" s="2532" t="s">
        <v>542</v>
      </c>
    </row>
    <row r="3" spans="1:17" ht="13.5" customHeight="1">
      <c r="A3" s="195"/>
      <c r="B3" s="179" t="s">
        <v>543</v>
      </c>
      <c r="C3" s="196">
        <f>'обор.шув-2,3'!AD7</f>
        <v>2999</v>
      </c>
      <c r="D3" s="196">
        <f>'обор.шув-2,3'!AD13</f>
        <v>324684.5</v>
      </c>
      <c r="E3" s="196">
        <f>'обор.шув-2,3'!AD16</f>
        <v>83364.5</v>
      </c>
      <c r="F3" s="196">
        <f>'обор.шув-2,3'!AD25</f>
        <v>897607.1</v>
      </c>
      <c r="G3" s="199">
        <f>SUM(C3:F3)</f>
        <v>1308655.1000000001</v>
      </c>
      <c r="H3" s="196">
        <f>'обор.шув-2,3'!AD19</f>
        <v>153079.5</v>
      </c>
      <c r="I3" s="196">
        <f>'обор.шув-2,3'!AD28</f>
        <v>1548533.0975000001</v>
      </c>
      <c r="J3" s="199">
        <f>SUM(H3:I3)</f>
        <v>1701612.5975000001</v>
      </c>
      <c r="K3" s="210">
        <f>G3+J3</f>
        <v>3010267.6975000002</v>
      </c>
      <c r="L3" s="2530"/>
      <c r="M3" s="2532"/>
      <c r="N3" s="764"/>
      <c r="O3" s="196">
        <f>'обор.шув-2,3'!AD43</f>
        <v>2124231.5350000001</v>
      </c>
      <c r="P3" s="2534"/>
      <c r="Q3" s="2532"/>
    </row>
    <row r="4" spans="1:17" ht="13.5" customHeight="1">
      <c r="A4" s="195"/>
      <c r="B4" s="179" t="s">
        <v>544</v>
      </c>
      <c r="C4" s="196">
        <f>'обор.шув-2,3'!AD8</f>
        <v>3386</v>
      </c>
      <c r="D4" s="196">
        <f>'обор.шув-2,3'!AD14</f>
        <v>327811</v>
      </c>
      <c r="E4" s="196">
        <f>'обор.шув-2,3'!AD17</f>
        <v>83944</v>
      </c>
      <c r="F4" s="196">
        <f>'обор.шув-2,3'!AD26</f>
        <v>848873</v>
      </c>
      <c r="G4" s="199">
        <f>SUM(C4:F4)</f>
        <v>1264014</v>
      </c>
      <c r="H4" s="196">
        <f>'обор.шув-2,3'!AD20</f>
        <v>131641</v>
      </c>
      <c r="I4" s="196">
        <f>'обор.шув-2,3'!AD29</f>
        <v>1690560</v>
      </c>
      <c r="J4" s="199">
        <f>SUM(H4:I4)</f>
        <v>1822201</v>
      </c>
      <c r="K4" s="210">
        <f>G4+J4</f>
        <v>3086215</v>
      </c>
      <c r="L4" s="2530"/>
      <c r="M4" s="2532"/>
      <c r="N4" s="764"/>
      <c r="O4" s="196">
        <f>'обор.шув-2,3'!AD44</f>
        <v>2077942</v>
      </c>
      <c r="P4" s="2534"/>
      <c r="Q4" s="2532"/>
    </row>
    <row r="5" spans="1:17" ht="13.5" customHeight="1">
      <c r="A5" s="195"/>
      <c r="B5" s="179" t="s">
        <v>545</v>
      </c>
      <c r="C5" s="196">
        <f t="shared" ref="C5:I5" si="0">C4-C3</f>
        <v>387</v>
      </c>
      <c r="D5" s="196">
        <f t="shared" si="0"/>
        <v>3126.5</v>
      </c>
      <c r="E5" s="196">
        <f t="shared" si="0"/>
        <v>579.5</v>
      </c>
      <c r="F5" s="196">
        <f t="shared" si="0"/>
        <v>-48734.099999999977</v>
      </c>
      <c r="G5" s="199">
        <f t="shared" si="0"/>
        <v>-44641.100000000093</v>
      </c>
      <c r="H5" s="196">
        <f t="shared" si="0"/>
        <v>-21438.5</v>
      </c>
      <c r="I5" s="196">
        <f t="shared" si="0"/>
        <v>142026.90249999985</v>
      </c>
      <c r="J5" s="199">
        <f>J4-J3</f>
        <v>120588.40249999985</v>
      </c>
      <c r="K5" s="210">
        <f>K4-K3</f>
        <v>75947.302499999758</v>
      </c>
      <c r="L5" s="2530"/>
      <c r="M5" s="2532"/>
      <c r="N5" s="764"/>
      <c r="O5" s="196">
        <f>O4-O3</f>
        <v>-46289.535000000149</v>
      </c>
      <c r="P5" s="2534"/>
      <c r="Q5" s="2532"/>
    </row>
    <row r="6" spans="1:17" s="87" customFormat="1" ht="13.5" customHeight="1">
      <c r="A6" s="86"/>
      <c r="B6" s="175" t="s">
        <v>546</v>
      </c>
      <c r="C6" s="175"/>
      <c r="D6" s="175"/>
      <c r="E6" s="175"/>
      <c r="F6" s="181">
        <f>'обор.шув-2,3'!L25-'обор.шув-2,3'!V25</f>
        <v>189.56896</v>
      </c>
      <c r="G6" s="200">
        <f>'обор.шув-2,3'!E25+'обор.шув-2,3'!L25-'обор.шув-2,3'!V25</f>
        <v>235.28136000000001</v>
      </c>
      <c r="H6" s="181">
        <f>'обор.шув-2,3'!L10+'обор.шув-2,3'!L19+'обор.шув-2,3'!L22-'обор.шув-2,3'!V10-'обор.шув-2,3'!V19-'обор.шув-2,3'!V22</f>
        <v>66.867999999999995</v>
      </c>
      <c r="I6" s="180">
        <f>'обор.шув-2,3'!L28-'обор.шув-2,3'!V28</f>
        <v>872.90357749999998</v>
      </c>
      <c r="J6" s="208">
        <f>SUM(H6:I6)+'обор.шув-2,3'!L31</f>
        <v>979.9645774999999</v>
      </c>
      <c r="K6" s="211">
        <f>G6+J6</f>
        <v>1215.2459374999999</v>
      </c>
      <c r="L6" s="2530"/>
      <c r="M6" s="2532"/>
      <c r="N6" s="765"/>
      <c r="O6" s="766">
        <f>'обор.шув-2,3'!L43-'обор.шув-2,3'!V43</f>
        <v>1557.8573899999999</v>
      </c>
      <c r="P6" s="2534"/>
      <c r="Q6" s="2532"/>
    </row>
    <row r="7" spans="1:17" s="87" customFormat="1" ht="13.5" customHeight="1">
      <c r="A7" s="86"/>
      <c r="B7" s="175" t="s">
        <v>547</v>
      </c>
      <c r="C7" s="175"/>
      <c r="D7" s="175"/>
      <c r="E7" s="175"/>
      <c r="F7" s="181">
        <f>'обор.шув-2,3'!L26-'обор.шув-2,3'!V26</f>
        <v>199.524</v>
      </c>
      <c r="G7" s="200">
        <f>'обор.шув-2,3'!E26+'обор.шув-2,3'!L26-'обор.шув-2,3'!V26</f>
        <v>246.011</v>
      </c>
      <c r="H7" s="181">
        <f>'обор.шув-2,3'!L11+'обор.шув-2,3'!L20-'обор.шув-2,3'!V11-'обор.шув-2,3'!V20</f>
        <v>57.153999999999996</v>
      </c>
      <c r="I7" s="180">
        <f>'обор.шув-2,3'!L29-'обор.шув-2,3'!V29</f>
        <v>824.76</v>
      </c>
      <c r="J7" s="208">
        <f>SUM(H7:I7)+'обор.шув-2,3'!L32</f>
        <v>919.08600000000001</v>
      </c>
      <c r="K7" s="211">
        <f>G7+J7-'обор.шув-2,3'!V14</f>
        <v>1160.74</v>
      </c>
      <c r="L7" s="2530"/>
      <c r="M7" s="2532"/>
      <c r="N7" s="765"/>
      <c r="O7" s="766">
        <f>'обор.шув-2,3'!L44-'обор.шув-2,3'!V44</f>
        <v>1654.8720000000001</v>
      </c>
      <c r="P7" s="2534"/>
      <c r="Q7" s="2532"/>
    </row>
    <row r="8" spans="1:17" s="87" customFormat="1" ht="13.5" customHeight="1">
      <c r="A8" s="86"/>
      <c r="B8" s="175" t="s">
        <v>548</v>
      </c>
      <c r="C8" s="175"/>
      <c r="D8" s="175"/>
      <c r="E8" s="175"/>
      <c r="F8" s="181">
        <f t="shared" ref="F8:K8" si="1">F7-F6</f>
        <v>9.9550399999999968</v>
      </c>
      <c r="G8" s="200">
        <f t="shared" si="1"/>
        <v>10.729639999999989</v>
      </c>
      <c r="H8" s="181">
        <f t="shared" si="1"/>
        <v>-9.7139999999999986</v>
      </c>
      <c r="I8" s="181">
        <f t="shared" si="1"/>
        <v>-48.143577499999992</v>
      </c>
      <c r="J8" s="208">
        <f t="shared" si="1"/>
        <v>-60.878577499999892</v>
      </c>
      <c r="K8" s="211">
        <f t="shared" si="1"/>
        <v>-54.505937499999845</v>
      </c>
      <c r="L8" s="2530"/>
      <c r="M8" s="2532"/>
      <c r="N8" s="765"/>
      <c r="O8" s="766">
        <f>O7-O6</f>
        <v>97.014610000000175</v>
      </c>
      <c r="P8" s="2534"/>
      <c r="Q8" s="2532"/>
    </row>
    <row r="9" spans="1:17" s="87" customFormat="1" ht="13.5" customHeight="1">
      <c r="A9" s="86"/>
      <c r="B9" s="175"/>
      <c r="C9" s="175"/>
      <c r="D9" s="175"/>
      <c r="E9" s="175"/>
      <c r="F9" s="181"/>
      <c r="G9" s="200"/>
      <c r="H9" s="181"/>
      <c r="I9" s="180"/>
      <c r="J9" s="208"/>
      <c r="K9" s="211"/>
      <c r="L9" s="2531"/>
      <c r="M9" s="2532"/>
      <c r="N9" s="765"/>
      <c r="O9" s="180"/>
      <c r="P9" s="2535"/>
      <c r="Q9" s="2532"/>
    </row>
    <row r="10" spans="1:17" s="87" customFormat="1" ht="13.5" customHeight="1" thickBot="1">
      <c r="A10" s="90"/>
      <c r="B10" s="175" t="s">
        <v>58</v>
      </c>
      <c r="C10" s="2536" t="s">
        <v>122</v>
      </c>
      <c r="D10" s="2537"/>
      <c r="E10" s="2537"/>
      <c r="F10" s="2537"/>
      <c r="G10" s="2537"/>
      <c r="H10" s="2537"/>
      <c r="I10" s="2537"/>
      <c r="J10" s="2537"/>
      <c r="K10" s="2538"/>
      <c r="L10" s="767"/>
      <c r="M10" s="175"/>
      <c r="N10" s="767"/>
      <c r="O10" s="88"/>
      <c r="P10" s="88"/>
      <c r="Q10" s="175"/>
    </row>
    <row r="11" spans="1:17" s="87" customFormat="1" ht="13.5" customHeight="1">
      <c r="A11" s="86"/>
      <c r="B11" s="182" t="s">
        <v>60</v>
      </c>
      <c r="C11" s="183">
        <f t="shared" ref="C11:L11" si="2">SUM(C12,C15,C18:C21,C24,C27,C30)</f>
        <v>584.70011</v>
      </c>
      <c r="D11" s="183">
        <f t="shared" si="2"/>
        <v>19311.634690000003</v>
      </c>
      <c r="E11" s="183">
        <f t="shared" si="2"/>
        <v>5380.6549099999993</v>
      </c>
      <c r="F11" s="183">
        <f t="shared" si="2"/>
        <v>3859.4918500000003</v>
      </c>
      <c r="G11" s="183">
        <f t="shared" si="2"/>
        <v>29136.481559999997</v>
      </c>
      <c r="H11" s="183">
        <f t="shared" si="2"/>
        <v>5768.5730199999998</v>
      </c>
      <c r="I11" s="183">
        <f t="shared" si="2"/>
        <v>39051.531720000006</v>
      </c>
      <c r="J11" s="183">
        <f t="shared" si="2"/>
        <v>44820.104740000002</v>
      </c>
      <c r="K11" s="183">
        <f>SUM(K12,K15,K18:K21,K24,K27,K30)</f>
        <v>73956.58630000001</v>
      </c>
      <c r="L11" s="183">
        <f t="shared" si="2"/>
        <v>69498.9181427515</v>
      </c>
      <c r="M11" s="768">
        <f>K11-L11</f>
        <v>4457.6681572485104</v>
      </c>
      <c r="N11" s="769"/>
      <c r="O11" s="183">
        <f>SUM(O12,O15,O18:O21,O24,O27,O30)</f>
        <v>85243.653053999995</v>
      </c>
      <c r="P11" s="183">
        <f>SUM(P12,P15,P18:P21,P24,P27,P30)</f>
        <v>89766.722199295007</v>
      </c>
      <c r="Q11" s="768">
        <f>O11-P11</f>
        <v>-4523.0691452950123</v>
      </c>
    </row>
    <row r="12" spans="1:17" ht="13.5" customHeight="1">
      <c r="A12" s="91"/>
      <c r="B12" s="176" t="s">
        <v>503</v>
      </c>
      <c r="C12" s="2241">
        <f>'обор.шув-2,3'!E114</f>
        <v>229.24166</v>
      </c>
      <c r="D12" s="2241">
        <f>'обор.шув-2,3'!G114</f>
        <v>18597.98143</v>
      </c>
      <c r="E12" s="2241">
        <f>'обор.шув-2,3'!I114</f>
        <v>5079.4671699999999</v>
      </c>
      <c r="F12" s="2241">
        <f>'обор.шув-2,3'!M114</f>
        <v>749.57457999999997</v>
      </c>
      <c r="G12" s="1920">
        <f>SUM(C12:F12)</f>
        <v>24656.26484</v>
      </c>
      <c r="H12" s="2241">
        <f>'обор.шув-2,3'!K114</f>
        <v>5434.5521200000003</v>
      </c>
      <c r="I12" s="2241">
        <f>'обор.шув-2,3'!O114</f>
        <v>37805.740519999999</v>
      </c>
      <c r="J12" s="1692">
        <f>SUM(H12:I12)</f>
        <v>43240.29264</v>
      </c>
      <c r="K12" s="1693">
        <f>G12+J12</f>
        <v>67896.557480000003</v>
      </c>
      <c r="L12" s="1694">
        <f>'св-во шув-2 план'!K8</f>
        <v>60778.867142751493</v>
      </c>
      <c r="M12" s="1696">
        <f t="shared" ref="M12:M60" si="3">K12-L12</f>
        <v>7117.6903372485103</v>
      </c>
      <c r="N12" s="2245"/>
      <c r="O12" s="2241">
        <f>'обор.шув-2,3'!Y114</f>
        <v>82002.021609999996</v>
      </c>
      <c r="P12" s="1695">
        <f>'св-во шув-2 план'!M8</f>
        <v>83985.742199294997</v>
      </c>
      <c r="Q12" s="1696">
        <f t="shared" ref="Q12:Q60" si="4">O12-P12</f>
        <v>-1983.7205892950005</v>
      </c>
    </row>
    <row r="13" spans="1:17" s="94" customFormat="1" ht="13.5" customHeight="1">
      <c r="A13" s="93"/>
      <c r="B13" s="176" t="s">
        <v>123</v>
      </c>
      <c r="C13" s="2241">
        <f>'обор.шув-2,3'!D114</f>
        <v>11.394</v>
      </c>
      <c r="D13" s="2241">
        <f>'обор.шув-2,3'!F114</f>
        <v>1067.1089999999999</v>
      </c>
      <c r="E13" s="2241">
        <f>'обор.шув-2,3'!H114</f>
        <v>290.464</v>
      </c>
      <c r="F13" s="2241">
        <f>'обор.шув-2,3'!L114</f>
        <v>17.559999999999999</v>
      </c>
      <c r="G13" s="1920">
        <f>SUM(C13:F13)</f>
        <v>1386.5269999999998</v>
      </c>
      <c r="H13" s="2241">
        <f>'обор.шув-2,3'!J114</f>
        <v>325.13200000000001</v>
      </c>
      <c r="I13" s="2241">
        <f>'обор.шув-2,3'!N114</f>
        <v>1677.3009999999999</v>
      </c>
      <c r="J13" s="1692">
        <f>SUM(H13:I13)</f>
        <v>2002.433</v>
      </c>
      <c r="K13" s="1693">
        <f>G13+J13</f>
        <v>3388.96</v>
      </c>
      <c r="L13" s="1694">
        <f>'св-во шув-2 план'!K9</f>
        <v>2946.6378323499994</v>
      </c>
      <c r="M13" s="1696">
        <f t="shared" si="3"/>
        <v>442.32216765000067</v>
      </c>
      <c r="N13" s="2245"/>
      <c r="O13" s="2241">
        <f>'обор.шув-2,3'!X114</f>
        <v>5297.2359999999999</v>
      </c>
      <c r="P13" s="1695">
        <f>'св-во шув-2 план'!M9</f>
        <v>4885.7325304999995</v>
      </c>
      <c r="Q13" s="1696">
        <f t="shared" si="4"/>
        <v>411.50346950000039</v>
      </c>
    </row>
    <row r="14" spans="1:17" s="96" customFormat="1" ht="13.5" customHeight="1">
      <c r="A14" s="95"/>
      <c r="B14" s="184" t="s">
        <v>63</v>
      </c>
      <c r="C14" s="184">
        <f t="shared" ref="C14:H14" si="5">C12/C13*1000</f>
        <v>20119.506757942778</v>
      </c>
      <c r="D14" s="184">
        <f t="shared" si="5"/>
        <v>17428.38025918627</v>
      </c>
      <c r="E14" s="184">
        <f t="shared" si="5"/>
        <v>17487.424155833425</v>
      </c>
      <c r="F14" s="184">
        <f t="shared" si="5"/>
        <v>42686.479498861045</v>
      </c>
      <c r="G14" s="203">
        <f t="shared" si="5"/>
        <v>17782.751320385396</v>
      </c>
      <c r="H14" s="184">
        <f t="shared" si="5"/>
        <v>16714.910005782269</v>
      </c>
      <c r="I14" s="184">
        <f>I12/I13*1000</f>
        <v>22539.627961826765</v>
      </c>
      <c r="J14" s="203">
        <f>J12/J13*1000</f>
        <v>21593.877368181609</v>
      </c>
      <c r="K14" s="214">
        <f>K12/K13*1000</f>
        <v>20034.629349416933</v>
      </c>
      <c r="L14" s="772">
        <f>L12/L13*1000</f>
        <v>20626.514217486714</v>
      </c>
      <c r="M14" s="768">
        <f t="shared" si="3"/>
        <v>-591.88486806978108</v>
      </c>
      <c r="N14" s="773"/>
      <c r="O14" s="184">
        <f>O12/O13*1000</f>
        <v>15480.152594673902</v>
      </c>
      <c r="P14" s="184">
        <f>P12/P13*1000</f>
        <v>17190</v>
      </c>
      <c r="Q14" s="768">
        <f t="shared" si="4"/>
        <v>-1709.8474053260979</v>
      </c>
    </row>
    <row r="15" spans="1:17" ht="13.5" hidden="1" customHeight="1" outlineLevel="1">
      <c r="A15" s="91"/>
      <c r="B15" s="176" t="s">
        <v>124</v>
      </c>
      <c r="C15" s="176">
        <f>'обор.шув-2,3'!E102</f>
        <v>0</v>
      </c>
      <c r="D15" s="176">
        <f>'обор.шув-2,3'!G102</f>
        <v>0</v>
      </c>
      <c r="E15" s="176">
        <f>'обор.шув-2,3'!I102</f>
        <v>0</v>
      </c>
      <c r="F15" s="176">
        <f>'обор.шув-2,3'!M102</f>
        <v>0</v>
      </c>
      <c r="G15" s="198">
        <f>SUM(C15:F15)</f>
        <v>0</v>
      </c>
      <c r="H15" s="176"/>
      <c r="I15" s="176">
        <f>'обор.шув-2,3'!O102</f>
        <v>0</v>
      </c>
      <c r="J15" s="204">
        <f>SUM(H15:I15)</f>
        <v>0</v>
      </c>
      <c r="K15" s="212">
        <f>G15+J15</f>
        <v>0</v>
      </c>
      <c r="L15" s="770">
        <f>'св-во шув-2 план'!K11</f>
        <v>0</v>
      </c>
      <c r="M15" s="768">
        <f t="shared" si="3"/>
        <v>0</v>
      </c>
      <c r="N15" s="771"/>
      <c r="O15" s="176">
        <f>'обор.шув-2,3'!Y102</f>
        <v>0</v>
      </c>
      <c r="P15" s="176">
        <f>'св-во шув-2 план'!M11</f>
        <v>0</v>
      </c>
      <c r="Q15" s="768">
        <f t="shared" si="4"/>
        <v>0</v>
      </c>
    </row>
    <row r="16" spans="1:17" s="94" customFormat="1" ht="13.5" hidden="1" customHeight="1" outlineLevel="1">
      <c r="A16" s="93"/>
      <c r="B16" s="176" t="s">
        <v>123</v>
      </c>
      <c r="C16" s="176">
        <f>'обор.шув-2,3'!D102</f>
        <v>0</v>
      </c>
      <c r="D16" s="176">
        <f>'обор.шув-2,3'!F102</f>
        <v>0</v>
      </c>
      <c r="E16" s="176">
        <f>'обор.шув-2,3'!H102</f>
        <v>0</v>
      </c>
      <c r="F16" s="176">
        <f>'обор.шув-2,3'!L102</f>
        <v>0</v>
      </c>
      <c r="G16" s="198">
        <f>SUM(C16:F16)</f>
        <v>0</v>
      </c>
      <c r="H16" s="176"/>
      <c r="I16" s="176">
        <f>'обор.шув-2,3'!N102</f>
        <v>0</v>
      </c>
      <c r="J16" s="204">
        <f>SUM(H16:I16)</f>
        <v>0</v>
      </c>
      <c r="K16" s="212">
        <f>G16+J16</f>
        <v>0</v>
      </c>
      <c r="L16" s="770">
        <f>'св-во шув-2 план'!K12</f>
        <v>0</v>
      </c>
      <c r="M16" s="768">
        <f t="shared" si="3"/>
        <v>0</v>
      </c>
      <c r="N16" s="771"/>
      <c r="O16" s="176">
        <f>'обор.шув-2,3'!X102</f>
        <v>0</v>
      </c>
      <c r="P16" s="176">
        <f>'св-во шув-2 план'!M12</f>
        <v>0</v>
      </c>
      <c r="Q16" s="768">
        <f t="shared" si="4"/>
        <v>0</v>
      </c>
    </row>
    <row r="17" spans="1:17" s="96" customFormat="1" ht="13.5" hidden="1" customHeight="1" outlineLevel="1">
      <c r="A17" s="95"/>
      <c r="B17" s="184" t="s">
        <v>63</v>
      </c>
      <c r="C17" s="184"/>
      <c r="D17" s="184" t="e">
        <f>D15/D16*1000</f>
        <v>#DIV/0!</v>
      </c>
      <c r="E17" s="184"/>
      <c r="F17" s="184" t="e">
        <f>F15/F16*1000</f>
        <v>#DIV/0!</v>
      </c>
      <c r="G17" s="203" t="e">
        <f>G15/G16*1000</f>
        <v>#DIV/0!</v>
      </c>
      <c r="H17" s="184"/>
      <c r="I17" s="184" t="e">
        <f>I15/I16*1000</f>
        <v>#DIV/0!</v>
      </c>
      <c r="J17" s="203" t="e">
        <f>J15/J16*1000</f>
        <v>#DIV/0!</v>
      </c>
      <c r="K17" s="214" t="e">
        <f>K15/K16*1000</f>
        <v>#DIV/0!</v>
      </c>
      <c r="L17" s="772" t="e">
        <f>L15/L16*1000</f>
        <v>#DIV/0!</v>
      </c>
      <c r="M17" s="768" t="e">
        <f t="shared" si="3"/>
        <v>#DIV/0!</v>
      </c>
      <c r="N17" s="773"/>
      <c r="O17" s="184"/>
      <c r="P17" s="184"/>
      <c r="Q17" s="768">
        <f t="shared" si="4"/>
        <v>0</v>
      </c>
    </row>
    <row r="18" spans="1:17" s="98" customFormat="1" ht="13.5" customHeight="1" collapsed="1">
      <c r="A18" s="97"/>
      <c r="B18" s="176" t="s">
        <v>125</v>
      </c>
      <c r="C18" s="2241">
        <f>'обор.шув-2,3'!E119+'обор.шув-2,3'!E118+'обор.шув-2,3'!E116</f>
        <v>3.3060700000000001</v>
      </c>
      <c r="D18" s="2241">
        <f>'обор.шув-2,3'!G115</f>
        <v>1.8440000000000001</v>
      </c>
      <c r="E18" s="2241">
        <f>'обор.шув-2,3'!I115</f>
        <v>0.35629</v>
      </c>
      <c r="F18" s="2241">
        <f>'обор.шув-2,3'!M117</f>
        <v>136.8717</v>
      </c>
      <c r="G18" s="1920">
        <f>SUM(C18:F18)</f>
        <v>142.37806</v>
      </c>
      <c r="H18" s="2241">
        <f>'обор.шув-2,3'!K119+'обор.шув-2,3'!K116+'обор.шув-2,3'!K118</f>
        <v>1.4244300000000001</v>
      </c>
      <c r="I18" s="1695"/>
      <c r="J18" s="1692">
        <f>SUM(H18:I18)</f>
        <v>1.4244300000000001</v>
      </c>
      <c r="K18" s="1693">
        <f>G18+J18</f>
        <v>143.80249000000001</v>
      </c>
      <c r="L18" s="1694">
        <f>'св-во шув-2 план'!K14</f>
        <v>37.5</v>
      </c>
      <c r="M18" s="1696">
        <f t="shared" si="3"/>
        <v>106.30249000000001</v>
      </c>
      <c r="N18" s="2245"/>
      <c r="O18" s="1695"/>
      <c r="P18" s="1695">
        <f>'св-во шув-2 план'!M14</f>
        <v>0</v>
      </c>
      <c r="Q18" s="1696">
        <f t="shared" si="4"/>
        <v>0</v>
      </c>
    </row>
    <row r="19" spans="1:17" s="94" customFormat="1" ht="13.5" hidden="1" customHeight="1" outlineLevel="1">
      <c r="A19" s="93"/>
      <c r="B19" s="176" t="s">
        <v>126</v>
      </c>
      <c r="C19" s="2106"/>
      <c r="D19" s="2106"/>
      <c r="E19" s="2106"/>
      <c r="F19" s="1695"/>
      <c r="G19" s="1920">
        <f t="shared" ref="G19:G43" si="6">SUM(C19:F19)</f>
        <v>0</v>
      </c>
      <c r="H19" s="2106"/>
      <c r="I19" s="1695"/>
      <c r="J19" s="1692">
        <f>SUM(H19:I19)</f>
        <v>0</v>
      </c>
      <c r="K19" s="1693">
        <f>G19+J19</f>
        <v>0</v>
      </c>
      <c r="L19" s="1694">
        <f>'св-во шув-2 план'!K15</f>
        <v>0</v>
      </c>
      <c r="M19" s="1696">
        <f t="shared" si="3"/>
        <v>0</v>
      </c>
      <c r="N19" s="2245"/>
      <c r="O19" s="1695"/>
      <c r="P19" s="1695">
        <f>'св-во шув-2 план'!M15</f>
        <v>0</v>
      </c>
      <c r="Q19" s="1696">
        <f t="shared" si="4"/>
        <v>0</v>
      </c>
    </row>
    <row r="20" spans="1:17" s="98" customFormat="1" ht="13.5" customHeight="1" collapsed="1">
      <c r="A20" s="97"/>
      <c r="B20" s="176" t="s">
        <v>127</v>
      </c>
      <c r="C20" s="2241">
        <v>32.869289999999999</v>
      </c>
      <c r="D20" s="2241">
        <v>490.42232000000001</v>
      </c>
      <c r="E20" s="2241">
        <v>243.09755999999999</v>
      </c>
      <c r="F20" s="2241">
        <v>2678.9879700000001</v>
      </c>
      <c r="G20" s="1920">
        <f t="shared" si="6"/>
        <v>3445.3771400000001</v>
      </c>
      <c r="H20" s="2241">
        <v>275.93027999999998</v>
      </c>
      <c r="I20" s="2241">
        <v>926.03548999999998</v>
      </c>
      <c r="J20" s="1692">
        <f>SUM(H20:I20)</f>
        <v>1201.96577</v>
      </c>
      <c r="K20" s="1693">
        <f>G20+J20</f>
        <v>4647.3429100000003</v>
      </c>
      <c r="L20" s="1694">
        <f>'св-во шув-2 план'!K16</f>
        <v>5155.2649999999994</v>
      </c>
      <c r="M20" s="1696">
        <f t="shared" si="3"/>
        <v>-507.92208999999912</v>
      </c>
      <c r="N20" s="2245"/>
      <c r="O20" s="2241">
        <v>1406.06637</v>
      </c>
      <c r="P20" s="1695">
        <f>'св-во шув-2 план'!M16</f>
        <v>2410.85</v>
      </c>
      <c r="Q20" s="1696">
        <f t="shared" si="4"/>
        <v>-1004.7836299999999</v>
      </c>
    </row>
    <row r="21" spans="1:17" ht="13.5" hidden="1" customHeight="1" outlineLevel="1">
      <c r="A21" s="91"/>
      <c r="B21" s="176" t="s">
        <v>66</v>
      </c>
      <c r="C21" s="1695"/>
      <c r="D21" s="1695"/>
      <c r="E21" s="1695"/>
      <c r="F21" s="1695"/>
      <c r="G21" s="1920">
        <f>SUM(C21:F21)</f>
        <v>0</v>
      </c>
      <c r="H21" s="1695"/>
      <c r="I21" s="2241"/>
      <c r="J21" s="1692">
        <f>SUM(H21:I21)</f>
        <v>0</v>
      </c>
      <c r="K21" s="1693">
        <f>G21+J21</f>
        <v>0</v>
      </c>
      <c r="L21" s="1694"/>
      <c r="M21" s="1696">
        <f>K21-L21</f>
        <v>0</v>
      </c>
      <c r="N21" s="2245"/>
      <c r="O21" s="2246"/>
      <c r="P21" s="1695"/>
      <c r="Q21" s="1696">
        <f>O21-P21</f>
        <v>0</v>
      </c>
    </row>
    <row r="22" spans="1:17" s="94" customFormat="1" ht="13.5" hidden="1" customHeight="1" outlineLevel="1">
      <c r="A22" s="93"/>
      <c r="B22" s="176" t="s">
        <v>123</v>
      </c>
      <c r="C22" s="1695"/>
      <c r="D22" s="1695"/>
      <c r="E22" s="1695"/>
      <c r="F22" s="1695"/>
      <c r="G22" s="1920">
        <f>SUM(C22:F22)</f>
        <v>0</v>
      </c>
      <c r="H22" s="1695"/>
      <c r="I22" s="2241"/>
      <c r="J22" s="1692">
        <f>SUM(H22:I22)</f>
        <v>0</v>
      </c>
      <c r="K22" s="1693">
        <f>G22+J22</f>
        <v>0</v>
      </c>
      <c r="L22" s="1694"/>
      <c r="M22" s="1696">
        <f>K22-L22</f>
        <v>0</v>
      </c>
      <c r="N22" s="2245"/>
      <c r="O22" s="2246"/>
      <c r="P22" s="1695"/>
      <c r="Q22" s="1696">
        <f>O22-P22</f>
        <v>0</v>
      </c>
    </row>
    <row r="23" spans="1:17" s="96" customFormat="1" ht="13.5" hidden="1" customHeight="1" outlineLevel="1">
      <c r="A23" s="95"/>
      <c r="B23" s="184" t="s">
        <v>63</v>
      </c>
      <c r="C23" s="1936"/>
      <c r="D23" s="1936"/>
      <c r="E23" s="1936"/>
      <c r="F23" s="1936"/>
      <c r="G23" s="2247"/>
      <c r="H23" s="1936"/>
      <c r="I23" s="2248"/>
      <c r="J23" s="2247"/>
      <c r="K23" s="2249"/>
      <c r="L23" s="1935"/>
      <c r="M23" s="1696">
        <f>K23-L23</f>
        <v>0</v>
      </c>
      <c r="N23" s="2250"/>
      <c r="O23" s="2251" t="e">
        <f>O21/O22*1000</f>
        <v>#DIV/0!</v>
      </c>
      <c r="P23" s="1936"/>
      <c r="Q23" s="1696" t="e">
        <f>O23-P23</f>
        <v>#DIV/0!</v>
      </c>
    </row>
    <row r="24" spans="1:17" ht="13.5" customHeight="1" collapsed="1">
      <c r="A24" s="91"/>
      <c r="B24" s="176" t="s">
        <v>67</v>
      </c>
      <c r="C24" s="2241">
        <v>3.53342</v>
      </c>
      <c r="D24" s="2241">
        <v>34.31073</v>
      </c>
      <c r="E24" s="2241">
        <v>11.63138</v>
      </c>
      <c r="F24" s="2241">
        <v>89.032160000000005</v>
      </c>
      <c r="G24" s="1920">
        <f>SUM(C24:F24)</f>
        <v>138.50769</v>
      </c>
      <c r="H24" s="2241">
        <v>13.12978</v>
      </c>
      <c r="I24" s="2241">
        <v>160.32133999999999</v>
      </c>
      <c r="J24" s="1692">
        <f>SUM(H24:I24)</f>
        <v>173.45112</v>
      </c>
      <c r="K24" s="1693">
        <f>G24+J24</f>
        <v>311.95880999999997</v>
      </c>
      <c r="L24" s="1694">
        <f>'св-во шув-2 план'!K17</f>
        <v>428.99999999999994</v>
      </c>
      <c r="M24" s="1696">
        <f t="shared" si="3"/>
        <v>-117.04118999999997</v>
      </c>
      <c r="N24" s="2245"/>
      <c r="O24" s="2241">
        <v>196.07222999999999</v>
      </c>
      <c r="P24" s="1695">
        <f>'св-во шув-2 план'!M17</f>
        <v>165</v>
      </c>
      <c r="Q24" s="1696">
        <f t="shared" si="4"/>
        <v>31.07222999999999</v>
      </c>
    </row>
    <row r="25" spans="1:17" s="94" customFormat="1" ht="13.5" customHeight="1">
      <c r="A25" s="93"/>
      <c r="B25" s="176" t="s">
        <v>123</v>
      </c>
      <c r="C25" s="2241">
        <v>0.10100000000000001</v>
      </c>
      <c r="D25" s="2241">
        <v>0.97299999999999998</v>
      </c>
      <c r="E25" s="2241">
        <v>0.32700000000000001</v>
      </c>
      <c r="F25" s="2241">
        <v>2.5179999999999998</v>
      </c>
      <c r="G25" s="1920">
        <f>SUM(C25:F25)</f>
        <v>3.9189999999999996</v>
      </c>
      <c r="H25" s="2241">
        <v>0.371</v>
      </c>
      <c r="I25" s="2241">
        <v>4.5350000000000001</v>
      </c>
      <c r="J25" s="1692">
        <f>SUM(H25:I25)</f>
        <v>4.9060000000000006</v>
      </c>
      <c r="K25" s="1693">
        <f>G25+J25</f>
        <v>8.8249999999999993</v>
      </c>
      <c r="L25" s="1694">
        <f>'св-во шув-2 план'!K18</f>
        <v>13</v>
      </c>
      <c r="M25" s="1696">
        <f t="shared" si="3"/>
        <v>-4.1750000000000007</v>
      </c>
      <c r="N25" s="2245"/>
      <c r="O25" s="2241">
        <v>5.58</v>
      </c>
      <c r="P25" s="1695">
        <f>'св-во шув-2 план'!M18</f>
        <v>5</v>
      </c>
      <c r="Q25" s="1696">
        <f t="shared" si="4"/>
        <v>0.58000000000000007</v>
      </c>
    </row>
    <row r="26" spans="1:17" s="96" customFormat="1" ht="13.5" customHeight="1">
      <c r="A26" s="95"/>
      <c r="B26" s="184" t="s">
        <v>63</v>
      </c>
      <c r="C26" s="1936"/>
      <c r="D26" s="1936"/>
      <c r="E26" s="1936"/>
      <c r="F26" s="1936"/>
      <c r="G26" s="2247">
        <f>G24/G25*1000</f>
        <v>35342.610359785656</v>
      </c>
      <c r="H26" s="1936"/>
      <c r="I26" s="2248"/>
      <c r="J26" s="2247">
        <f>J24/J25*1000</f>
        <v>35354.896045658374</v>
      </c>
      <c r="K26" s="2249">
        <f>K24/K25*1000</f>
        <v>35349.440226628896</v>
      </c>
      <c r="L26" s="1935">
        <f>L24/L25*1000</f>
        <v>32999.999999999993</v>
      </c>
      <c r="M26" s="1696">
        <f t="shared" si="3"/>
        <v>2349.4402266289035</v>
      </c>
      <c r="N26" s="2250"/>
      <c r="O26" s="1936">
        <f>O24/O25*1000</f>
        <v>35138.392473118278</v>
      </c>
      <c r="P26" s="1936">
        <f>P24/P25*1000</f>
        <v>33000</v>
      </c>
      <c r="Q26" s="1696">
        <f t="shared" si="4"/>
        <v>2138.3924731182778</v>
      </c>
    </row>
    <row r="27" spans="1:17" s="96" customFormat="1" ht="13.5" hidden="1" customHeight="1" outlineLevel="1">
      <c r="A27" s="95"/>
      <c r="B27" s="176" t="s">
        <v>68</v>
      </c>
      <c r="C27" s="1936"/>
      <c r="D27" s="1936"/>
      <c r="E27" s="1936"/>
      <c r="F27" s="1936"/>
      <c r="G27" s="2247"/>
      <c r="H27" s="1936"/>
      <c r="I27" s="2248"/>
      <c r="J27" s="2247"/>
      <c r="K27" s="2249"/>
      <c r="L27" s="1935"/>
      <c r="M27" s="1696"/>
      <c r="N27" s="2250"/>
      <c r="O27" s="1936"/>
      <c r="P27" s="1936"/>
      <c r="Q27" s="1696">
        <f t="shared" si="4"/>
        <v>0</v>
      </c>
    </row>
    <row r="28" spans="1:17" s="96" customFormat="1" ht="13.5" hidden="1" customHeight="1" outlineLevel="1">
      <c r="A28" s="95"/>
      <c r="B28" s="176" t="s">
        <v>551</v>
      </c>
      <c r="C28" s="1936"/>
      <c r="D28" s="1936"/>
      <c r="E28" s="1936"/>
      <c r="F28" s="1936"/>
      <c r="G28" s="2247"/>
      <c r="H28" s="1936"/>
      <c r="I28" s="2248"/>
      <c r="J28" s="2247"/>
      <c r="K28" s="2249"/>
      <c r="L28" s="1935"/>
      <c r="M28" s="1696"/>
      <c r="N28" s="2250"/>
      <c r="O28" s="1936"/>
      <c r="P28" s="1936"/>
      <c r="Q28" s="1696">
        <f t="shared" si="4"/>
        <v>0</v>
      </c>
    </row>
    <row r="29" spans="1:17" s="96" customFormat="1" ht="13.5" hidden="1" customHeight="1" outlineLevel="1">
      <c r="A29" s="95"/>
      <c r="B29" s="184" t="s">
        <v>63</v>
      </c>
      <c r="C29" s="1936"/>
      <c r="D29" s="1936"/>
      <c r="E29" s="1936"/>
      <c r="F29" s="1936"/>
      <c r="G29" s="2247"/>
      <c r="H29" s="1936"/>
      <c r="I29" s="2248"/>
      <c r="J29" s="2247"/>
      <c r="K29" s="2249"/>
      <c r="L29" s="1935"/>
      <c r="M29" s="1696"/>
      <c r="N29" s="2250"/>
      <c r="O29" s="1936" t="e">
        <f>O27/O28*1000</f>
        <v>#DIV/0!</v>
      </c>
      <c r="P29" s="1936"/>
      <c r="Q29" s="1696" t="e">
        <f t="shared" si="4"/>
        <v>#DIV/0!</v>
      </c>
    </row>
    <row r="30" spans="1:17" ht="13.5" customHeight="1" collapsed="1">
      <c r="A30" s="91"/>
      <c r="B30" s="185" t="s">
        <v>71</v>
      </c>
      <c r="C30" s="2241">
        <f>66.75634+248.99333</f>
        <v>315.74966999999998</v>
      </c>
      <c r="D30" s="2241">
        <f>103.17635+83.89986</f>
        <v>187.07621</v>
      </c>
      <c r="E30" s="2241">
        <v>46.102510000000002</v>
      </c>
      <c r="F30" s="2241">
        <v>205.02544</v>
      </c>
      <c r="G30" s="1920">
        <f>SUM(C30:F30)</f>
        <v>753.95383000000004</v>
      </c>
      <c r="H30" s="2241">
        <v>43.536409999999997</v>
      </c>
      <c r="I30" s="2241">
        <v>159.43437</v>
      </c>
      <c r="J30" s="1692">
        <f>SUM(H30:I30)</f>
        <v>202.97077999999999</v>
      </c>
      <c r="K30" s="1693">
        <f>G30+J30</f>
        <v>956.92461000000003</v>
      </c>
      <c r="L30" s="1694">
        <f>'св-во шув-2 план'!K20</f>
        <v>3098.2860000000001</v>
      </c>
      <c r="M30" s="1696">
        <f t="shared" si="3"/>
        <v>-2141.36139</v>
      </c>
      <c r="N30" s="2245"/>
      <c r="O30" s="2241">
        <f>802.8017+5.1+576.91307+88.42258+166.255494</f>
        <v>1639.4928439999999</v>
      </c>
      <c r="P30" s="1695">
        <f>'св-во шув-2 план'!M20</f>
        <v>3205.13</v>
      </c>
      <c r="Q30" s="1696">
        <f t="shared" si="4"/>
        <v>-1565.6371560000002</v>
      </c>
    </row>
    <row r="31" spans="1:17" s="87" customFormat="1" ht="13.5" customHeight="1">
      <c r="A31" s="86"/>
      <c r="B31" s="88" t="s">
        <v>549</v>
      </c>
      <c r="C31" s="2241">
        <v>69.441040000000001</v>
      </c>
      <c r="D31" s="2241">
        <v>1454.4217900000001</v>
      </c>
      <c r="E31" s="2241">
        <v>1439.7752499999999</v>
      </c>
      <c r="F31" s="2241">
        <v>2331.65569</v>
      </c>
      <c r="G31" s="1920">
        <f>SUM(C31:F31)</f>
        <v>5295.2937700000002</v>
      </c>
      <c r="H31" s="2241">
        <v>2417.1201700000001</v>
      </c>
      <c r="I31" s="2241">
        <v>2461.1970299999998</v>
      </c>
      <c r="J31" s="1692">
        <f>SUM(H31:I31)</f>
        <v>4878.3171999999995</v>
      </c>
      <c r="K31" s="1693">
        <f>G31+J31</f>
        <v>10173.61097</v>
      </c>
      <c r="L31" s="1694">
        <f>'св-во шув-2 план'!K21</f>
        <v>12256.528840000001</v>
      </c>
      <c r="M31" s="1696">
        <f t="shared" si="3"/>
        <v>-2082.9178700000011</v>
      </c>
      <c r="N31" s="2245"/>
      <c r="O31" s="2241">
        <v>11399.625910000001</v>
      </c>
      <c r="P31" s="1695">
        <f>'св-во шув-2 план'!M21</f>
        <v>11089.93008</v>
      </c>
      <c r="Q31" s="1696">
        <f t="shared" si="4"/>
        <v>309.69583000000057</v>
      </c>
    </row>
    <row r="32" spans="1:17" s="87" customFormat="1" ht="13.5" customHeight="1">
      <c r="A32" s="86"/>
      <c r="B32" s="88" t="s">
        <v>73</v>
      </c>
      <c r="C32" s="2241">
        <v>4.6168199999999997</v>
      </c>
      <c r="D32" s="2241">
        <v>446.04239000000001</v>
      </c>
      <c r="E32" s="2241">
        <v>114.54777</v>
      </c>
      <c r="F32" s="2241">
        <v>1152.4446399999999</v>
      </c>
      <c r="G32" s="1920">
        <f>SUM(C32:F32)</f>
        <v>1717.6516200000001</v>
      </c>
      <c r="H32" s="2241">
        <v>181.55098000000001</v>
      </c>
      <c r="I32" s="2241">
        <v>2306.8217800000002</v>
      </c>
      <c r="J32" s="1692">
        <f>SUM(H32:I32)</f>
        <v>2488.3727600000002</v>
      </c>
      <c r="K32" s="1693">
        <f>G32+J32</f>
        <v>4206.0243800000007</v>
      </c>
      <c r="L32" s="1694">
        <f>'св-во шув-2 план'!K22</f>
        <v>3990</v>
      </c>
      <c r="M32" s="1696">
        <f t="shared" si="3"/>
        <v>216.02438000000075</v>
      </c>
      <c r="N32" s="2245"/>
      <c r="O32" s="2241">
        <v>3314.71614</v>
      </c>
      <c r="P32" s="1695">
        <f>'св-во шув-2 план'!M22</f>
        <v>3330</v>
      </c>
      <c r="Q32" s="1696">
        <f t="shared" si="4"/>
        <v>-15.283860000000004</v>
      </c>
    </row>
    <row r="33" spans="1:17" s="87" customFormat="1" ht="10.5" customHeight="1">
      <c r="A33" s="86"/>
      <c r="B33" s="88" t="s">
        <v>74</v>
      </c>
      <c r="C33" s="2241">
        <f>0.05493+1.37299</f>
        <v>1.4279199999999999</v>
      </c>
      <c r="D33" s="2241">
        <f>5.3047+132.61778</f>
        <v>137.92248000000001</v>
      </c>
      <c r="E33" s="2241">
        <f>1.36239+34.06012</f>
        <v>35.422509999999996</v>
      </c>
      <c r="F33" s="2241">
        <f>13.70672+342.66729</f>
        <v>356.37401</v>
      </c>
      <c r="G33" s="1920">
        <f t="shared" si="6"/>
        <v>531.14692000000002</v>
      </c>
      <c r="H33" s="2241">
        <f>2.15928+53.98202</f>
        <v>56.141300000000001</v>
      </c>
      <c r="I33" s="2241">
        <f>27.43565+685.89007</f>
        <v>713.32572000000005</v>
      </c>
      <c r="J33" s="1692">
        <f>SUM(H33:I33)</f>
        <v>769.46702000000005</v>
      </c>
      <c r="K33" s="1693">
        <f>G33+J33</f>
        <v>1300.6139400000002</v>
      </c>
      <c r="L33" s="1694">
        <f>'св-во шув-2 план'!K23</f>
        <v>1244.8800000000001</v>
      </c>
      <c r="M33" s="1696">
        <f t="shared" si="3"/>
        <v>55.733940000000075</v>
      </c>
      <c r="N33" s="2245"/>
      <c r="O33" s="2241">
        <f>39.68764+973.31841</f>
        <v>1013.00605</v>
      </c>
      <c r="P33" s="1695">
        <f>'св-во шув-2 план'!M23</f>
        <v>1038.96</v>
      </c>
      <c r="Q33" s="1696">
        <f t="shared" si="4"/>
        <v>-25.953950000000077</v>
      </c>
    </row>
    <row r="34" spans="1:17" s="87" customFormat="1" ht="13.5" customHeight="1">
      <c r="A34" s="86"/>
      <c r="B34" s="88" t="s">
        <v>75</v>
      </c>
      <c r="C34" s="1695">
        <f>C35+C36+C37</f>
        <v>0</v>
      </c>
      <c r="D34" s="1695">
        <f t="shared" ref="D34:K34" si="7">D35+D36+D37</f>
        <v>0</v>
      </c>
      <c r="E34" s="1695">
        <f t="shared" si="7"/>
        <v>0</v>
      </c>
      <c r="F34" s="1695">
        <f t="shared" si="7"/>
        <v>0</v>
      </c>
      <c r="G34" s="1920">
        <f t="shared" si="6"/>
        <v>0</v>
      </c>
      <c r="H34" s="1695">
        <f t="shared" si="7"/>
        <v>0</v>
      </c>
      <c r="I34" s="1695">
        <f>I35+I36+I37</f>
        <v>0</v>
      </c>
      <c r="J34" s="1692">
        <f t="shared" si="7"/>
        <v>0</v>
      </c>
      <c r="K34" s="2252">
        <f t="shared" si="7"/>
        <v>0</v>
      </c>
      <c r="L34" s="1694">
        <f>L35+L36+L37</f>
        <v>0</v>
      </c>
      <c r="M34" s="1696">
        <f t="shared" si="3"/>
        <v>0</v>
      </c>
      <c r="N34" s="2253"/>
      <c r="O34" s="1695">
        <f>O35+O36+O37</f>
        <v>2457.1127000000001</v>
      </c>
      <c r="P34" s="1695">
        <f>P35+P36+P37</f>
        <v>7007.6</v>
      </c>
      <c r="Q34" s="1696">
        <f t="shared" si="4"/>
        <v>-4550.4873000000007</v>
      </c>
    </row>
    <row r="35" spans="1:17" s="87" customFormat="1" ht="13.5" customHeight="1">
      <c r="A35" s="86"/>
      <c r="B35" s="101" t="s">
        <v>130</v>
      </c>
      <c r="C35" s="1695"/>
      <c r="D35" s="1695"/>
      <c r="E35" s="1695"/>
      <c r="F35" s="1695"/>
      <c r="G35" s="1920">
        <f t="shared" si="6"/>
        <v>0</v>
      </c>
      <c r="H35" s="1695"/>
      <c r="I35" s="1695"/>
      <c r="J35" s="1692">
        <f>SUM(H35:I35)</f>
        <v>0</v>
      </c>
      <c r="K35" s="1693">
        <f>G35+J35</f>
        <v>0</v>
      </c>
      <c r="L35" s="1694">
        <f>'св-во шув-2 план'!K25</f>
        <v>0</v>
      </c>
      <c r="M35" s="1696">
        <f t="shared" si="3"/>
        <v>0</v>
      </c>
      <c r="N35" s="2245"/>
      <c r="O35" s="2241">
        <f>1501.32026+39.991+271.89993</f>
        <v>1813.21119</v>
      </c>
      <c r="P35" s="1695">
        <f>'св-во шув-2 план'!M25</f>
        <v>6346.6</v>
      </c>
      <c r="Q35" s="1696">
        <f t="shared" si="4"/>
        <v>-4533.3888100000004</v>
      </c>
    </row>
    <row r="36" spans="1:17" s="324" customFormat="1" ht="13.5" customHeight="1">
      <c r="A36" s="195"/>
      <c r="B36" s="101" t="s">
        <v>77</v>
      </c>
      <c r="C36" s="2254"/>
      <c r="D36" s="2254"/>
      <c r="E36" s="2254"/>
      <c r="F36" s="2254"/>
      <c r="G36" s="1920">
        <f>SUM(C36:F36)</f>
        <v>0</v>
      </c>
      <c r="H36" s="2254"/>
      <c r="I36" s="2254"/>
      <c r="J36" s="1692">
        <f t="shared" ref="J36:J43" si="8">SUM(H36:I36)</f>
        <v>0</v>
      </c>
      <c r="K36" s="1693">
        <f t="shared" ref="K36:K43" si="9">G36+J36</f>
        <v>0</v>
      </c>
      <c r="L36" s="1694">
        <f>'св-во шув-2 план'!K26</f>
        <v>0</v>
      </c>
      <c r="M36" s="1696">
        <f t="shared" si="3"/>
        <v>0</v>
      </c>
      <c r="N36" s="1913"/>
      <c r="O36" s="2254"/>
      <c r="P36" s="1695">
        <f>'св-во шув-2 план'!M26</f>
        <v>0</v>
      </c>
      <c r="Q36" s="1696">
        <f t="shared" si="4"/>
        <v>0</v>
      </c>
    </row>
    <row r="37" spans="1:17" ht="18.75" customHeight="1">
      <c r="A37" s="91"/>
      <c r="B37" s="101" t="s">
        <v>78</v>
      </c>
      <c r="C37" s="1945"/>
      <c r="D37" s="1945"/>
      <c r="E37" s="1945"/>
      <c r="F37" s="1945"/>
      <c r="G37" s="1920">
        <f>SUM(C37:F37)</f>
        <v>0</v>
      </c>
      <c r="H37" s="1945"/>
      <c r="I37" s="1945"/>
      <c r="J37" s="1692">
        <f t="shared" si="8"/>
        <v>0</v>
      </c>
      <c r="K37" s="1693">
        <f t="shared" si="9"/>
        <v>0</v>
      </c>
      <c r="L37" s="1694">
        <f>'св-во шув-2 план'!K27</f>
        <v>0</v>
      </c>
      <c r="M37" s="1696">
        <f t="shared" si="3"/>
        <v>0</v>
      </c>
      <c r="N37" s="2245"/>
      <c r="O37" s="2241">
        <f>643.90151</f>
        <v>643.90151000000003</v>
      </c>
      <c r="P37" s="1695">
        <f>'св-во шув-2 план'!M27</f>
        <v>661</v>
      </c>
      <c r="Q37" s="1696">
        <f t="shared" si="4"/>
        <v>-17.09848999999997</v>
      </c>
    </row>
    <row r="38" spans="1:17" s="87" customFormat="1" ht="13.5" customHeight="1">
      <c r="A38" s="86"/>
      <c r="B38" s="88" t="s">
        <v>79</v>
      </c>
      <c r="C38" s="1930">
        <f t="shared" ref="C38:H38" si="10">SUM(C39:C43)</f>
        <v>0</v>
      </c>
      <c r="D38" s="1930">
        <f t="shared" si="10"/>
        <v>710.88382999999999</v>
      </c>
      <c r="E38" s="1930">
        <f t="shared" si="10"/>
        <v>473.86381</v>
      </c>
      <c r="F38" s="1930">
        <f t="shared" si="10"/>
        <v>2279.9207700000002</v>
      </c>
      <c r="G38" s="1920">
        <f t="shared" si="6"/>
        <v>3464.6684100000002</v>
      </c>
      <c r="H38" s="1930">
        <f t="shared" si="10"/>
        <v>258.94580000000002</v>
      </c>
      <c r="I38" s="1930">
        <f>SUM(I39:I43)</f>
        <v>1233.9673600000001</v>
      </c>
      <c r="J38" s="1692">
        <f t="shared" si="8"/>
        <v>1492.9131600000001</v>
      </c>
      <c r="K38" s="1693">
        <f t="shared" si="9"/>
        <v>4957.5815700000003</v>
      </c>
      <c r="L38" s="1798">
        <f>SUM(L39:L43)</f>
        <v>0</v>
      </c>
      <c r="M38" s="1696">
        <f t="shared" si="3"/>
        <v>4957.5815700000003</v>
      </c>
      <c r="N38" s="2245"/>
      <c r="O38" s="1930">
        <f>SUM(O39:O43)</f>
        <v>2151.6337800000001</v>
      </c>
      <c r="P38" s="1930">
        <f>SUM(P39:P43)</f>
        <v>100</v>
      </c>
      <c r="Q38" s="1696">
        <f t="shared" si="4"/>
        <v>2051.6337800000001</v>
      </c>
    </row>
    <row r="39" spans="1:17" ht="9">
      <c r="A39" s="91"/>
      <c r="B39" s="186" t="s">
        <v>564</v>
      </c>
      <c r="C39" s="1695"/>
      <c r="D39" s="1695"/>
      <c r="E39" s="1695"/>
      <c r="F39" s="1695"/>
      <c r="G39" s="1920">
        <f t="shared" si="6"/>
        <v>0</v>
      </c>
      <c r="H39" s="2241">
        <v>5.2249999999999996</v>
      </c>
      <c r="I39" s="1695"/>
      <c r="J39" s="1692">
        <f>SUM(H39:I39)</f>
        <v>5.2249999999999996</v>
      </c>
      <c r="K39" s="1693">
        <f t="shared" si="9"/>
        <v>5.2249999999999996</v>
      </c>
      <c r="L39" s="1694">
        <f>'св-во шув-2 план'!K29</f>
        <v>0</v>
      </c>
      <c r="M39" s="1696">
        <f t="shared" si="3"/>
        <v>5.2249999999999996</v>
      </c>
      <c r="N39" s="2245"/>
      <c r="O39" s="2241">
        <f>56.46128+84+3.45+0.57+7.49</f>
        <v>151.97127999999998</v>
      </c>
      <c r="P39" s="1695">
        <f>'св-во шув-2 план'!M29</f>
        <v>100</v>
      </c>
      <c r="Q39" s="1696">
        <f t="shared" si="4"/>
        <v>51.971279999999979</v>
      </c>
    </row>
    <row r="40" spans="1:17" ht="13.5" customHeight="1">
      <c r="A40" s="91"/>
      <c r="B40" s="187" t="s">
        <v>131</v>
      </c>
      <c r="C40" s="1945"/>
      <c r="D40" s="1945"/>
      <c r="E40" s="1945"/>
      <c r="F40" s="1945"/>
      <c r="G40" s="1920">
        <f t="shared" si="6"/>
        <v>0</v>
      </c>
      <c r="H40" s="1945"/>
      <c r="I40" s="1945"/>
      <c r="J40" s="1692">
        <f t="shared" si="8"/>
        <v>0</v>
      </c>
      <c r="K40" s="1693">
        <f t="shared" si="9"/>
        <v>0</v>
      </c>
      <c r="L40" s="1694">
        <f>'св-во шув-2 план'!K31</f>
        <v>0</v>
      </c>
      <c r="M40" s="1696">
        <f t="shared" si="3"/>
        <v>0</v>
      </c>
      <c r="N40" s="2245"/>
      <c r="O40" s="1945"/>
      <c r="P40" s="1695">
        <f>'св-во шув-2 план'!M30</f>
        <v>0</v>
      </c>
      <c r="Q40" s="1696">
        <f t="shared" si="4"/>
        <v>0</v>
      </c>
    </row>
    <row r="41" spans="1:17" ht="13.5" customHeight="1">
      <c r="A41" s="91"/>
      <c r="B41" s="187" t="s">
        <v>82</v>
      </c>
      <c r="C41" s="1945"/>
      <c r="D41" s="1945"/>
      <c r="E41" s="1945"/>
      <c r="F41" s="1945"/>
      <c r="G41" s="1920">
        <f t="shared" si="6"/>
        <v>0</v>
      </c>
      <c r="H41" s="1945"/>
      <c r="I41" s="1945"/>
      <c r="J41" s="1692">
        <f t="shared" si="8"/>
        <v>0</v>
      </c>
      <c r="K41" s="1693">
        <f t="shared" si="9"/>
        <v>0</v>
      </c>
      <c r="L41" s="1694">
        <f>'св-во шув-2 план'!K32</f>
        <v>0</v>
      </c>
      <c r="M41" s="1696">
        <f t="shared" si="3"/>
        <v>0</v>
      </c>
      <c r="N41" s="2245"/>
      <c r="O41" s="1945"/>
      <c r="P41" s="1695">
        <f>'св-во шув-2 план'!M31</f>
        <v>0</v>
      </c>
      <c r="Q41" s="1696">
        <f t="shared" si="4"/>
        <v>0</v>
      </c>
    </row>
    <row r="42" spans="1:17" s="87" customFormat="1" ht="13.5" customHeight="1">
      <c r="A42" s="86"/>
      <c r="B42" s="187" t="s">
        <v>83</v>
      </c>
      <c r="C42" s="1945"/>
      <c r="D42" s="1945"/>
      <c r="E42" s="1945"/>
      <c r="F42" s="1945"/>
      <c r="G42" s="1920">
        <f t="shared" si="6"/>
        <v>0</v>
      </c>
      <c r="H42" s="1945"/>
      <c r="I42" s="1945"/>
      <c r="J42" s="1692">
        <f t="shared" si="8"/>
        <v>0</v>
      </c>
      <c r="K42" s="1693">
        <f t="shared" si="9"/>
        <v>0</v>
      </c>
      <c r="L42" s="1694">
        <f>'св-во шув-2 план'!K32</f>
        <v>0</v>
      </c>
      <c r="M42" s="1696">
        <f t="shared" si="3"/>
        <v>0</v>
      </c>
      <c r="N42" s="2245"/>
      <c r="O42" s="2282">
        <v>10.052</v>
      </c>
      <c r="P42" s="1695">
        <f>'св-во шув-2 план'!M32</f>
        <v>0</v>
      </c>
      <c r="Q42" s="1696">
        <f t="shared" si="4"/>
        <v>10.052</v>
      </c>
    </row>
    <row r="43" spans="1:17" s="87" customFormat="1" ht="13.5" customHeight="1" thickBot="1">
      <c r="A43" s="86"/>
      <c r="B43" s="190" t="s">
        <v>88</v>
      </c>
      <c r="C43" s="2255"/>
      <c r="D43" s="2256">
        <v>710.88382999999999</v>
      </c>
      <c r="E43" s="2256">
        <f>253.62667+220.23714</f>
        <v>473.86381</v>
      </c>
      <c r="F43" s="2256">
        <v>2279.9207700000002</v>
      </c>
      <c r="G43" s="1920">
        <f t="shared" si="6"/>
        <v>3464.6684100000002</v>
      </c>
      <c r="H43" s="2256">
        <v>253.7208</v>
      </c>
      <c r="I43" s="2256">
        <v>1233.9673600000001</v>
      </c>
      <c r="J43" s="1692">
        <f t="shared" si="8"/>
        <v>1487.6881600000002</v>
      </c>
      <c r="K43" s="1693">
        <f t="shared" si="9"/>
        <v>4952.3565699999999</v>
      </c>
      <c r="L43" s="1694">
        <f>'св-во шув-2 план'!K33</f>
        <v>0</v>
      </c>
      <c r="M43" s="1696">
        <f t="shared" si="3"/>
        <v>4952.3565699999999</v>
      </c>
      <c r="N43" s="2245"/>
      <c r="O43" s="2282">
        <v>1989.6105</v>
      </c>
      <c r="P43" s="1695">
        <f>'св-во шув-2 план'!M33</f>
        <v>0</v>
      </c>
      <c r="Q43" s="2257">
        <f t="shared" si="4"/>
        <v>1989.6105</v>
      </c>
    </row>
    <row r="44" spans="1:17" s="87" customFormat="1" ht="13.5" customHeight="1" thickBot="1">
      <c r="A44" s="103"/>
      <c r="B44" s="193" t="s">
        <v>18</v>
      </c>
      <c r="C44" s="1940">
        <f>C11+C31+C32+C33+C34+C38</f>
        <v>660.18588999999997</v>
      </c>
      <c r="D44" s="1940">
        <f t="shared" ref="D44:I44" si="11">D11+D31+D32+D33+D34+D38</f>
        <v>22060.905180000002</v>
      </c>
      <c r="E44" s="1940">
        <f t="shared" si="11"/>
        <v>7444.2642499999993</v>
      </c>
      <c r="F44" s="1940">
        <f t="shared" si="11"/>
        <v>9979.8869599999998</v>
      </c>
      <c r="G44" s="2258">
        <f>G11+G31+G32+G33+G34+G38</f>
        <v>40145.242279999991</v>
      </c>
      <c r="H44" s="1940">
        <f>H11+H31+H32+H33+H34+H38</f>
        <v>8682.3312699999988</v>
      </c>
      <c r="I44" s="1940">
        <f t="shared" si="11"/>
        <v>45766.843610000011</v>
      </c>
      <c r="J44" s="2258">
        <f>J11+J31+J32+J33+J34+J38</f>
        <v>54449.174879999991</v>
      </c>
      <c r="K44" s="2259">
        <f>K11+K31+K32+K33+K34+K38</f>
        <v>94594.417159999997</v>
      </c>
      <c r="L44" s="2260">
        <f>L11+L31+L32+L33+L34+L38</f>
        <v>86990.326982751503</v>
      </c>
      <c r="M44" s="1948">
        <f t="shared" si="3"/>
        <v>7604.090177248494</v>
      </c>
      <c r="N44" s="2261"/>
      <c r="O44" s="2262">
        <f>O11+O31+O32+O33+O34+O38</f>
        <v>105579.747634</v>
      </c>
      <c r="P44" s="2263">
        <f>P11+P31+P32+P33+P34+P38</f>
        <v>112333.21227929502</v>
      </c>
      <c r="Q44" s="2264">
        <f t="shared" si="4"/>
        <v>-6753.4646452950255</v>
      </c>
    </row>
    <row r="45" spans="1:17" ht="13.5" customHeight="1">
      <c r="A45" s="104"/>
      <c r="B45" s="192" t="s">
        <v>102</v>
      </c>
      <c r="C45" s="1943">
        <f>SUM(C46:C51)</f>
        <v>0</v>
      </c>
      <c r="D45" s="1943">
        <f t="shared" ref="D45:O45" si="12">SUM(D46:D51)</f>
        <v>0</v>
      </c>
      <c r="E45" s="1943">
        <f t="shared" si="12"/>
        <v>0</v>
      </c>
      <c r="F45" s="1943">
        <f t="shared" si="12"/>
        <v>0</v>
      </c>
      <c r="G45" s="2265">
        <f t="shared" si="12"/>
        <v>0</v>
      </c>
      <c r="H45" s="1943">
        <f t="shared" si="12"/>
        <v>0</v>
      </c>
      <c r="I45" s="1943">
        <f t="shared" si="12"/>
        <v>0</v>
      </c>
      <c r="J45" s="2265">
        <f t="shared" si="12"/>
        <v>0</v>
      </c>
      <c r="K45" s="1693">
        <f t="shared" ref="K45:K52" si="13">G45+J45</f>
        <v>0</v>
      </c>
      <c r="L45" s="2266">
        <f>SUM(L46:L51)</f>
        <v>0</v>
      </c>
      <c r="M45" s="1696">
        <f t="shared" si="3"/>
        <v>0</v>
      </c>
      <c r="N45" s="2245"/>
      <c r="O45" s="1943">
        <f t="shared" si="12"/>
        <v>0</v>
      </c>
      <c r="P45" s="1943">
        <f>SUM(P46:P51)</f>
        <v>0</v>
      </c>
      <c r="Q45" s="2267">
        <f t="shared" si="4"/>
        <v>0</v>
      </c>
    </row>
    <row r="46" spans="1:17" ht="13.5" hidden="1" customHeight="1" outlineLevel="1">
      <c r="A46" s="105"/>
      <c r="B46" s="106" t="s">
        <v>422</v>
      </c>
      <c r="C46" s="1945"/>
      <c r="D46" s="1945"/>
      <c r="E46" s="1945"/>
      <c r="F46" s="1945"/>
      <c r="G46" s="2268">
        <f t="shared" ref="G46:G53" si="14">SUM(C46:F46)</f>
        <v>0</v>
      </c>
      <c r="H46" s="1945"/>
      <c r="I46" s="1945"/>
      <c r="J46" s="2268">
        <f t="shared" ref="J46:J52" si="15">SUM(H46:I46)</f>
        <v>0</v>
      </c>
      <c r="K46" s="1693">
        <f t="shared" si="13"/>
        <v>0</v>
      </c>
      <c r="L46" s="1694">
        <f>'св-во шув-2 план'!K37</f>
        <v>0</v>
      </c>
      <c r="M46" s="1696">
        <f t="shared" si="3"/>
        <v>0</v>
      </c>
      <c r="N46" s="2245"/>
      <c r="O46" s="1945"/>
      <c r="P46" s="1695">
        <f>'св-во шув-2 план'!M37</f>
        <v>0</v>
      </c>
      <c r="Q46" s="1696">
        <f t="shared" si="4"/>
        <v>0</v>
      </c>
    </row>
    <row r="47" spans="1:17" ht="13.5" hidden="1" customHeight="1" outlineLevel="1">
      <c r="A47" s="105"/>
      <c r="B47" s="106" t="s">
        <v>461</v>
      </c>
      <c r="C47" s="1945"/>
      <c r="D47" s="1945"/>
      <c r="E47" s="1945"/>
      <c r="F47" s="1945"/>
      <c r="G47" s="2268">
        <f t="shared" si="14"/>
        <v>0</v>
      </c>
      <c r="H47" s="1945"/>
      <c r="I47" s="1945"/>
      <c r="J47" s="2268">
        <f t="shared" si="15"/>
        <v>0</v>
      </c>
      <c r="K47" s="1693">
        <f t="shared" si="13"/>
        <v>0</v>
      </c>
      <c r="L47" s="1694">
        <f>'св-во шув-2 план'!K38</f>
        <v>0</v>
      </c>
      <c r="M47" s="1696">
        <f t="shared" si="3"/>
        <v>0</v>
      </c>
      <c r="N47" s="2245"/>
      <c r="O47" s="1945"/>
      <c r="P47" s="1695">
        <f>'св-во шув-2 план'!M38</f>
        <v>0</v>
      </c>
      <c r="Q47" s="1696">
        <f t="shared" si="4"/>
        <v>0</v>
      </c>
    </row>
    <row r="48" spans="1:17" s="87" customFormat="1" ht="13.5" hidden="1" customHeight="1" outlineLevel="1">
      <c r="A48" s="282"/>
      <c r="B48" s="106" t="s">
        <v>462</v>
      </c>
      <c r="C48" s="1947"/>
      <c r="D48" s="1947"/>
      <c r="E48" s="1947"/>
      <c r="F48" s="1947"/>
      <c r="G48" s="2268">
        <f t="shared" si="14"/>
        <v>0</v>
      </c>
      <c r="H48" s="1947"/>
      <c r="I48" s="1947"/>
      <c r="J48" s="2268">
        <f t="shared" si="15"/>
        <v>0</v>
      </c>
      <c r="K48" s="1693">
        <f t="shared" si="13"/>
        <v>0</v>
      </c>
      <c r="L48" s="1694">
        <f>'св-во шув-2 план'!K39</f>
        <v>0</v>
      </c>
      <c r="M48" s="1696">
        <f t="shared" si="3"/>
        <v>0</v>
      </c>
      <c r="N48" s="2245"/>
      <c r="O48" s="1947"/>
      <c r="P48" s="1695">
        <f>'св-во шув-2 план'!M39</f>
        <v>0</v>
      </c>
      <c r="Q48" s="1696">
        <f t="shared" si="4"/>
        <v>0</v>
      </c>
    </row>
    <row r="49" spans="1:17" s="87" customFormat="1" ht="13.5" hidden="1" customHeight="1" outlineLevel="1">
      <c r="A49" s="282"/>
      <c r="B49" s="105" t="s">
        <v>133</v>
      </c>
      <c r="C49" s="1947"/>
      <c r="D49" s="1947"/>
      <c r="E49" s="1947"/>
      <c r="F49" s="1947"/>
      <c r="G49" s="2268">
        <f t="shared" si="14"/>
        <v>0</v>
      </c>
      <c r="H49" s="1947"/>
      <c r="I49" s="1947"/>
      <c r="J49" s="2268">
        <f t="shared" si="15"/>
        <v>0</v>
      </c>
      <c r="K49" s="1693">
        <f t="shared" si="13"/>
        <v>0</v>
      </c>
      <c r="L49" s="1694">
        <f>'св-во шув-2 план'!K40</f>
        <v>0</v>
      </c>
      <c r="M49" s="1696">
        <f t="shared" si="3"/>
        <v>0</v>
      </c>
      <c r="N49" s="2245"/>
      <c r="O49" s="1947"/>
      <c r="P49" s="1695">
        <f>'св-во шув-2 план'!M40</f>
        <v>0</v>
      </c>
      <c r="Q49" s="1696">
        <f t="shared" si="4"/>
        <v>0</v>
      </c>
    </row>
    <row r="50" spans="1:17" s="87" customFormat="1" ht="13.5" hidden="1" customHeight="1" outlineLevel="1">
      <c r="A50" s="282"/>
      <c r="B50" s="105" t="s">
        <v>103</v>
      </c>
      <c r="C50" s="1947"/>
      <c r="D50" s="1947"/>
      <c r="E50" s="1947"/>
      <c r="F50" s="1947"/>
      <c r="G50" s="2268">
        <f t="shared" si="14"/>
        <v>0</v>
      </c>
      <c r="H50" s="1947"/>
      <c r="I50" s="1947"/>
      <c r="J50" s="2268">
        <f t="shared" si="15"/>
        <v>0</v>
      </c>
      <c r="K50" s="1693">
        <f t="shared" si="13"/>
        <v>0</v>
      </c>
      <c r="L50" s="1694">
        <f>'св-во шув-2 план'!K41</f>
        <v>0</v>
      </c>
      <c r="M50" s="1696">
        <f t="shared" si="3"/>
        <v>0</v>
      </c>
      <c r="N50" s="2245"/>
      <c r="O50" s="1947"/>
      <c r="P50" s="1695">
        <f>'св-во шув-2 план'!M41</f>
        <v>0</v>
      </c>
      <c r="Q50" s="1696">
        <f t="shared" si="4"/>
        <v>0</v>
      </c>
    </row>
    <row r="51" spans="1:17" s="87" customFormat="1" ht="13.5" hidden="1" customHeight="1" outlineLevel="1">
      <c r="A51" s="282"/>
      <c r="B51" s="88" t="s">
        <v>358</v>
      </c>
      <c r="C51" s="1947"/>
      <c r="D51" s="1947"/>
      <c r="E51" s="1947"/>
      <c r="F51" s="1947"/>
      <c r="G51" s="2268">
        <f t="shared" si="14"/>
        <v>0</v>
      </c>
      <c r="H51" s="1947"/>
      <c r="I51" s="1947"/>
      <c r="J51" s="2268">
        <f t="shared" si="15"/>
        <v>0</v>
      </c>
      <c r="K51" s="1693">
        <f t="shared" si="13"/>
        <v>0</v>
      </c>
      <c r="L51" s="1694">
        <f>'св-во шув-2 план'!K41</f>
        <v>0</v>
      </c>
      <c r="M51" s="1696">
        <f t="shared" si="3"/>
        <v>0</v>
      </c>
      <c r="N51" s="2245"/>
      <c r="O51" s="1947"/>
      <c r="P51" s="1695">
        <f>'св-во шув-2 план'!M41</f>
        <v>0</v>
      </c>
      <c r="Q51" s="1696">
        <f t="shared" si="4"/>
        <v>0</v>
      </c>
    </row>
    <row r="52" spans="1:17" s="87" customFormat="1" ht="13.5" customHeight="1" collapsed="1">
      <c r="A52" s="100"/>
      <c r="B52" s="88" t="s">
        <v>89</v>
      </c>
      <c r="C52" s="1947">
        <f>'вспом.пр-ва факт'!AC69</f>
        <v>12.134020000000001</v>
      </c>
      <c r="D52" s="1947">
        <f>'вспом.пр-ва факт'!AC70</f>
        <v>1166.9684600000001</v>
      </c>
      <c r="E52" s="1947">
        <f>'вспом.пр-ва факт'!AC71</f>
        <v>299.54045000000002</v>
      </c>
      <c r="F52" s="1947">
        <f>'вспом.пр-ва факт'!AC72</f>
        <v>3033.1238699999999</v>
      </c>
      <c r="G52" s="2268">
        <f t="shared" si="14"/>
        <v>4511.7667999999994</v>
      </c>
      <c r="H52" s="1947">
        <f>'вспом.пр-ва факт'!AC74</f>
        <v>507.87245000000007</v>
      </c>
      <c r="I52" s="1947">
        <f>'вспом.пр-ва факт'!AC75</f>
        <v>5952.01595</v>
      </c>
      <c r="J52" s="2268">
        <f t="shared" si="15"/>
        <v>6459.8883999999998</v>
      </c>
      <c r="K52" s="1693">
        <f t="shared" si="13"/>
        <v>10971.655199999999</v>
      </c>
      <c r="L52" s="1694">
        <f>'св-во шув-2 план'!K42</f>
        <v>15255.494379031188</v>
      </c>
      <c r="M52" s="1696">
        <f t="shared" si="3"/>
        <v>-4283.8391790311889</v>
      </c>
      <c r="N52" s="2245"/>
      <c r="O52" s="1947">
        <f>'вспом.пр-ва факт'!AC78</f>
        <v>10543.414610000002</v>
      </c>
      <c r="P52" s="1695">
        <f>'св-во шув-2 план'!M42</f>
        <v>17717.273435739691</v>
      </c>
      <c r="Q52" s="1696">
        <f t="shared" si="4"/>
        <v>-7173.8588257396896</v>
      </c>
    </row>
    <row r="53" spans="1:17" ht="13.5" customHeight="1" thickBot="1">
      <c r="A53" s="102"/>
      <c r="B53" s="187" t="s">
        <v>107</v>
      </c>
      <c r="C53" s="1945">
        <f>'вспом.пр-ва факт'!AF69</f>
        <v>156.93654000000001</v>
      </c>
      <c r="D53" s="1945">
        <f>'вспом.пр-ва факт'!AF70</f>
        <v>1617.9802</v>
      </c>
      <c r="E53" s="1945">
        <f>'вспом.пр-ва факт'!AF71</f>
        <v>870.32962999999995</v>
      </c>
      <c r="F53" s="1945">
        <f>'вспом.пр-ва факт'!AF72</f>
        <v>4927.24755</v>
      </c>
      <c r="G53" s="2268">
        <f t="shared" si="14"/>
        <v>7572.4939199999999</v>
      </c>
      <c r="H53" s="1945">
        <f>'вспом.пр-ва факт'!AF74</f>
        <v>1541.5911599999999</v>
      </c>
      <c r="I53" s="1945">
        <f>'вспом.пр-ва факт'!AF75</f>
        <v>5538.4598599999999</v>
      </c>
      <c r="J53" s="2268">
        <f>SUM(H53:I53)</f>
        <v>7080.0510199999999</v>
      </c>
      <c r="K53" s="1693">
        <f>G53+J53</f>
        <v>14652.54494</v>
      </c>
      <c r="L53" s="1694">
        <f>'св-во шув-2 план'!K43</f>
        <v>15961.025759536089</v>
      </c>
      <c r="M53" s="1696">
        <f t="shared" si="3"/>
        <v>-1308.4808195360893</v>
      </c>
      <c r="N53" s="2245"/>
      <c r="O53" s="1695"/>
      <c r="P53" s="1695">
        <f>'св-во шув-2 план'!M43</f>
        <v>0</v>
      </c>
      <c r="Q53" s="1696">
        <f t="shared" si="4"/>
        <v>0</v>
      </c>
    </row>
    <row r="54" spans="1:17" s="87" customFormat="1" ht="13.5" customHeight="1">
      <c r="A54" s="107"/>
      <c r="B54" s="280" t="s">
        <v>108</v>
      </c>
      <c r="C54" s="1949">
        <f t="shared" ref="C54:K54" si="16">C44+C45+C52+C53</f>
        <v>829.25644999999997</v>
      </c>
      <c r="D54" s="1949">
        <f t="shared" si="16"/>
        <v>24845.853840000003</v>
      </c>
      <c r="E54" s="1949">
        <f t="shared" si="16"/>
        <v>8614.134329999999</v>
      </c>
      <c r="F54" s="1949">
        <f t="shared" si="16"/>
        <v>17940.258379999999</v>
      </c>
      <c r="G54" s="1949">
        <f t="shared" si="16"/>
        <v>52229.50299999999</v>
      </c>
      <c r="H54" s="1949">
        <f>H44+H45+H52+H53</f>
        <v>10731.794879999999</v>
      </c>
      <c r="I54" s="1949">
        <f t="shared" si="16"/>
        <v>57257.319420000014</v>
      </c>
      <c r="J54" s="1949">
        <f t="shared" si="16"/>
        <v>67989.114299999987</v>
      </c>
      <c r="K54" s="1949">
        <f t="shared" si="16"/>
        <v>120218.61729999998</v>
      </c>
      <c r="L54" s="2269">
        <f>L44+L45+L52+L53</f>
        <v>118206.84712131879</v>
      </c>
      <c r="M54" s="2270">
        <f t="shared" si="3"/>
        <v>2011.7701786811958</v>
      </c>
      <c r="N54" s="2271"/>
      <c r="O54" s="2272">
        <f>O44+O45+O52+O53</f>
        <v>116123.16224400001</v>
      </c>
      <c r="P54" s="2272">
        <f>P44+P45+P52+P53</f>
        <v>130050.48571503471</v>
      </c>
      <c r="Q54" s="2270">
        <f t="shared" si="4"/>
        <v>-13927.323471034702</v>
      </c>
    </row>
    <row r="55" spans="1:17" ht="13.5" customHeight="1" thickBot="1">
      <c r="A55" s="105"/>
      <c r="B55" s="186" t="s">
        <v>110</v>
      </c>
      <c r="C55" s="1945">
        <f>'вспом.пр-ва факт'!AK69</f>
        <v>101.86453</v>
      </c>
      <c r="D55" s="1945">
        <f>'вспом.пр-ва факт'!AK70</f>
        <v>909.65413000000001</v>
      </c>
      <c r="E55" s="1945">
        <f>'вспом.пр-ва факт'!AK71</f>
        <v>562.71681000000001</v>
      </c>
      <c r="F55" s="1945">
        <f>'вспом.пр-ва факт'!AK72</f>
        <v>2780.7726499999999</v>
      </c>
      <c r="G55" s="2268">
        <f>SUM(C55:F55)</f>
        <v>4355.0081200000004</v>
      </c>
      <c r="H55" s="1945">
        <f>'вспом.пр-ва факт'!AK74</f>
        <v>867.49891000000002</v>
      </c>
      <c r="I55" s="1945">
        <f>'вспом.пр-ва факт'!AK75</f>
        <v>3208.61058</v>
      </c>
      <c r="J55" s="2268">
        <f>SUM(H55:I55)</f>
        <v>4076.1094899999998</v>
      </c>
      <c r="K55" s="1693">
        <f>G55+J55</f>
        <v>8431.1176100000012</v>
      </c>
      <c r="L55" s="1694">
        <f>'св-во шув-2 план'!K45</f>
        <v>6499.3877674347559</v>
      </c>
      <c r="M55" s="1696">
        <f t="shared" si="3"/>
        <v>1931.7298425652452</v>
      </c>
      <c r="N55" s="2245"/>
      <c r="O55" s="1695">
        <f>'вспом.пр-ва факт'!AK78</f>
        <v>7912.1775399999997</v>
      </c>
      <c r="P55" s="1695">
        <f>'св-во шув-2 план'!M45</f>
        <v>7101.342039694272</v>
      </c>
      <c r="Q55" s="1696">
        <f t="shared" si="4"/>
        <v>810.83550030572769</v>
      </c>
    </row>
    <row r="56" spans="1:17" s="87" customFormat="1" ht="13.5" customHeight="1" thickBot="1">
      <c r="A56" s="177"/>
      <c r="B56" s="283" t="s">
        <v>112</v>
      </c>
      <c r="C56" s="1952">
        <f t="shared" ref="C56:K56" si="17">C54+C55</f>
        <v>931.12097999999992</v>
      </c>
      <c r="D56" s="1952">
        <f t="shared" si="17"/>
        <v>25755.507970000002</v>
      </c>
      <c r="E56" s="1952">
        <f t="shared" si="17"/>
        <v>9176.8511399999988</v>
      </c>
      <c r="F56" s="1952">
        <f t="shared" si="17"/>
        <v>20721.031029999998</v>
      </c>
      <c r="G56" s="1952">
        <f t="shared" si="17"/>
        <v>56584.511119999988</v>
      </c>
      <c r="H56" s="1952">
        <f>H54+H55</f>
        <v>11599.29379</v>
      </c>
      <c r="I56" s="1952">
        <f t="shared" si="17"/>
        <v>60465.930000000015</v>
      </c>
      <c r="J56" s="1952">
        <f t="shared" si="17"/>
        <v>72065.223789999989</v>
      </c>
      <c r="K56" s="1952">
        <f t="shared" si="17"/>
        <v>128649.73490999998</v>
      </c>
      <c r="L56" s="2269">
        <f>L54+L55</f>
        <v>124706.23488875355</v>
      </c>
      <c r="M56" s="2270">
        <f t="shared" si="3"/>
        <v>3943.5000212464365</v>
      </c>
      <c r="N56" s="2271"/>
      <c r="O56" s="2272">
        <f>O54+O55</f>
        <v>124035.33978400001</v>
      </c>
      <c r="P56" s="2272">
        <f>P54+P55</f>
        <v>137151.82775472899</v>
      </c>
      <c r="Q56" s="2270">
        <f t="shared" si="4"/>
        <v>-13116.48797072898</v>
      </c>
    </row>
    <row r="57" spans="1:17" s="87" customFormat="1" ht="13.5" customHeight="1" thickBot="1">
      <c r="A57" s="177"/>
      <c r="B57" s="284" t="s">
        <v>329</v>
      </c>
      <c r="C57" s="1945"/>
      <c r="D57" s="1945"/>
      <c r="E57" s="1945"/>
      <c r="F57" s="1945"/>
      <c r="G57" s="2268">
        <f>SUM(C57:F57)</f>
        <v>0</v>
      </c>
      <c r="H57" s="1945"/>
      <c r="I57" s="1945"/>
      <c r="J57" s="2268">
        <f>SUM(H57:I57)</f>
        <v>0</v>
      </c>
      <c r="K57" s="1693">
        <f>G57+J57</f>
        <v>0</v>
      </c>
      <c r="L57" s="1694">
        <f>'св-во шув-2 план'!K47</f>
        <v>0</v>
      </c>
      <c r="M57" s="1696">
        <f t="shared" si="3"/>
        <v>0</v>
      </c>
      <c r="N57" s="1916"/>
      <c r="O57" s="1695"/>
      <c r="P57" s="1695">
        <f>'св-во шув-2 план'!M47</f>
        <v>0</v>
      </c>
      <c r="Q57" s="1696">
        <f t="shared" si="4"/>
        <v>0</v>
      </c>
    </row>
    <row r="58" spans="1:17" s="87" customFormat="1" ht="13.5" customHeight="1" thickBot="1">
      <c r="A58" s="177"/>
      <c r="B58" s="283" t="s">
        <v>330</v>
      </c>
      <c r="C58" s="2242">
        <f>C56-C57</f>
        <v>931.12097999999992</v>
      </c>
      <c r="D58" s="2242">
        <f t="shared" ref="D58:K58" si="18">D56-D57</f>
        <v>25755.507970000002</v>
      </c>
      <c r="E58" s="2242">
        <f t="shared" si="18"/>
        <v>9176.8511399999988</v>
      </c>
      <c r="F58" s="2242">
        <f t="shared" si="18"/>
        <v>20721.031029999998</v>
      </c>
      <c r="G58" s="1952">
        <f>G56-G57</f>
        <v>56584.511119999988</v>
      </c>
      <c r="H58" s="2242">
        <f>H56-H57</f>
        <v>11599.29379</v>
      </c>
      <c r="I58" s="2242">
        <f>I56-I57</f>
        <v>60465.930000000015</v>
      </c>
      <c r="J58" s="1952">
        <f>J56-J57</f>
        <v>72065.223789999989</v>
      </c>
      <c r="K58" s="1952">
        <f t="shared" si="18"/>
        <v>128649.73490999998</v>
      </c>
      <c r="L58" s="2269">
        <f>L56-L57</f>
        <v>124706.23488875355</v>
      </c>
      <c r="M58" s="2270">
        <f t="shared" si="3"/>
        <v>3943.5000212464365</v>
      </c>
      <c r="N58" s="2271"/>
      <c r="O58" s="2283">
        <f>O56-O57</f>
        <v>124035.33978400001</v>
      </c>
      <c r="P58" s="2272">
        <f>P56-P57</f>
        <v>137151.82775472899</v>
      </c>
      <c r="Q58" s="2270">
        <f t="shared" si="4"/>
        <v>-13116.48797072898</v>
      </c>
    </row>
    <row r="59" spans="1:17" s="87" customFormat="1" ht="13.5" customHeight="1" thickBot="1">
      <c r="A59" s="103"/>
      <c r="B59" s="284" t="s">
        <v>109</v>
      </c>
      <c r="C59" s="1947"/>
      <c r="D59" s="1947"/>
      <c r="E59" s="1947"/>
      <c r="F59" s="1947">
        <f t="shared" ref="F59:J59" si="19">F58/F7</f>
        <v>103.85232368035925</v>
      </c>
      <c r="G59" s="1947">
        <f t="shared" si="19"/>
        <v>230.00805297324098</v>
      </c>
      <c r="H59" s="1947">
        <f t="shared" si="19"/>
        <v>202.94806645204187</v>
      </c>
      <c r="I59" s="1947">
        <f t="shared" si="19"/>
        <v>73.313363887676431</v>
      </c>
      <c r="J59" s="1947">
        <f t="shared" si="19"/>
        <v>78.409663285046221</v>
      </c>
      <c r="K59" s="1947">
        <f>K58/K7</f>
        <v>110.83423928700655</v>
      </c>
      <c r="L59" s="2273">
        <f>L58/K6</f>
        <v>102.61810473137547</v>
      </c>
      <c r="M59" s="1696">
        <f t="shared" si="3"/>
        <v>8.2161345556310863</v>
      </c>
      <c r="N59" s="2261"/>
      <c r="O59" s="2332">
        <f>O58/O7</f>
        <v>74.951621505469916</v>
      </c>
      <c r="P59" s="1947">
        <f>P58/O6</f>
        <v>88.038756714906356</v>
      </c>
      <c r="Q59" s="1696">
        <f t="shared" si="4"/>
        <v>-13.08713520943644</v>
      </c>
    </row>
    <row r="60" spans="1:17" ht="13.5" customHeight="1" thickBot="1">
      <c r="A60" s="105"/>
      <c r="B60" s="186" t="s">
        <v>357</v>
      </c>
      <c r="C60" s="1956">
        <f t="shared" ref="C60:K60" si="20">C58/C4*1000</f>
        <v>274.99142941523917</v>
      </c>
      <c r="D60" s="1956">
        <f t="shared" si="20"/>
        <v>78.568162660801505</v>
      </c>
      <c r="E60" s="1956">
        <f t="shared" si="20"/>
        <v>109.32110859620698</v>
      </c>
      <c r="F60" s="1956">
        <f t="shared" si="20"/>
        <v>24.410048417136601</v>
      </c>
      <c r="G60" s="1956">
        <f t="shared" si="20"/>
        <v>44.765731328925149</v>
      </c>
      <c r="H60" s="1956">
        <f t="shared" si="20"/>
        <v>88.11307867609635</v>
      </c>
      <c r="I60" s="1956">
        <f t="shared" si="20"/>
        <v>35.766805082339587</v>
      </c>
      <c r="J60" s="1956">
        <f t="shared" si="20"/>
        <v>39.548449259988331</v>
      </c>
      <c r="K60" s="1956">
        <f t="shared" si="20"/>
        <v>41.68527951228284</v>
      </c>
      <c r="L60" s="2274">
        <f>L58/K3*1000</f>
        <v>41.426958470278549</v>
      </c>
      <c r="M60" s="1696">
        <f t="shared" si="3"/>
        <v>0.25832104200429029</v>
      </c>
      <c r="N60" s="2275"/>
      <c r="O60" s="1956">
        <f>O58/O4*1000</f>
        <v>59.691434979417139</v>
      </c>
      <c r="P60" s="1956">
        <f>P58/O3*1000</f>
        <v>64.565385408765707</v>
      </c>
      <c r="Q60" s="1696">
        <f t="shared" si="4"/>
        <v>-4.873950429348568</v>
      </c>
    </row>
    <row r="61" spans="1:17" ht="13.5" customHeight="1" thickBot="1">
      <c r="A61" s="774"/>
      <c r="B61" s="218" t="s">
        <v>331</v>
      </c>
      <c r="C61" s="2276"/>
      <c r="D61" s="2276"/>
      <c r="E61" s="2276"/>
      <c r="F61" s="2276"/>
      <c r="G61" s="2276"/>
      <c r="H61" s="2276"/>
      <c r="I61" s="2277"/>
      <c r="J61" s="2277"/>
      <c r="K61" s="2277"/>
      <c r="L61" s="2278"/>
      <c r="M61" s="2277"/>
      <c r="N61" s="2279"/>
      <c r="O61" s="2277"/>
      <c r="P61" s="2277"/>
      <c r="Q61" s="2277"/>
    </row>
    <row r="62" spans="1:17" s="87" customFormat="1" ht="13.5" customHeight="1">
      <c r="A62" s="775"/>
      <c r="B62" s="218" t="s">
        <v>136</v>
      </c>
      <c r="C62" s="2276"/>
      <c r="D62" s="2276"/>
      <c r="E62" s="2276"/>
      <c r="F62" s="2276"/>
      <c r="G62" s="2276"/>
      <c r="H62" s="2276"/>
      <c r="I62" s="2276"/>
      <c r="J62" s="2276"/>
      <c r="K62" s="2276"/>
      <c r="L62" s="2280"/>
      <c r="M62" s="2276"/>
      <c r="N62" s="2281"/>
      <c r="O62" s="2276"/>
      <c r="P62" s="2276"/>
      <c r="Q62" s="2276"/>
    </row>
  </sheetData>
  <autoFilter ref="A27:Q29"/>
  <mergeCells count="5">
    <mergeCell ref="L2:L9"/>
    <mergeCell ref="M2:M9"/>
    <mergeCell ref="P2:P9"/>
    <mergeCell ref="Q2:Q9"/>
    <mergeCell ref="C10:K10"/>
  </mergeCells>
  <pageMargins left="0.70866141732283472" right="0.70866141732283472" top="0.43307086614173229" bottom="0.43307086614173229" header="0.31496062992125984" footer="0.31496062992125984"/>
  <pageSetup paperSize="9" scale="80" orientation="landscape" r:id="rId1"/>
  <headerFooter>
    <oddHeader>&amp;CЗатраты Шувалово-2,3 факт 1 квартал 2013 года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P68"/>
  <sheetViews>
    <sheetView zoomScale="130" zoomScaleNormal="130" workbookViewId="0">
      <pane xSplit="2" ySplit="3" topLeftCell="H4" activePane="bottomRight" state="frozen"/>
      <selection pane="topRight" activeCell="C1" sqref="C1"/>
      <selection pane="bottomLeft" activeCell="A3" sqref="A3"/>
      <selection pane="bottomRight" activeCell="K54" sqref="K54"/>
    </sheetView>
  </sheetViews>
  <sheetFormatPr defaultRowHeight="8.25" outlineLevelRow="1" outlineLevelCol="1"/>
  <cols>
    <col min="1" max="1" width="2.28515625" style="85" customWidth="1"/>
    <col min="2" max="2" width="28.7109375" style="85" customWidth="1"/>
    <col min="3" max="7" width="9.140625" style="85" hidden="1" customWidth="1" outlineLevel="1"/>
    <col min="8" max="8" width="9.140625" style="85" customWidth="1" collapsed="1"/>
    <col min="9" max="9" width="9.140625" style="85" customWidth="1"/>
    <col min="10" max="11" width="9.140625" style="85"/>
    <col min="12" max="12" width="9.140625" style="85" customWidth="1"/>
    <col min="13" max="13" width="9.140625" style="85"/>
    <col min="14" max="14" width="9.140625" style="85" customWidth="1"/>
    <col min="15" max="16384" width="9.140625" style="85"/>
  </cols>
  <sheetData>
    <row r="1" spans="1:16" s="83" customFormat="1" ht="9" thickBot="1">
      <c r="B1" s="81" t="s">
        <v>659</v>
      </c>
      <c r="C1" s="82"/>
      <c r="D1" s="82"/>
      <c r="E1" s="82"/>
      <c r="F1" s="82"/>
      <c r="G1" s="82"/>
      <c r="H1" s="82"/>
      <c r="I1" s="82"/>
      <c r="K1" s="82"/>
      <c r="L1" s="82"/>
      <c r="N1" s="82"/>
    </row>
    <row r="2" spans="1:16" s="83" customFormat="1" ht="13.5" customHeight="1" thickBot="1">
      <c r="B2" s="81"/>
      <c r="C2" s="82"/>
      <c r="D2" s="82"/>
      <c r="E2" s="82"/>
      <c r="F2" s="82"/>
      <c r="G2" s="82"/>
      <c r="H2" s="2541" t="s">
        <v>591</v>
      </c>
      <c r="I2" s="2542"/>
      <c r="J2" s="2543"/>
      <c r="K2" s="2541" t="s">
        <v>294</v>
      </c>
      <c r="L2" s="2542"/>
      <c r="M2" s="2543"/>
      <c r="N2" s="2544" t="s">
        <v>672</v>
      </c>
      <c r="O2" s="2545"/>
      <c r="P2" s="2546"/>
    </row>
    <row r="3" spans="1:16" ht="18" customHeight="1">
      <c r="A3" s="84"/>
      <c r="B3" s="179"/>
      <c r="C3" s="179" t="s">
        <v>580</v>
      </c>
      <c r="D3" s="179" t="s">
        <v>579</v>
      </c>
      <c r="E3" s="179" t="s">
        <v>593</v>
      </c>
      <c r="F3" s="179" t="s">
        <v>594</v>
      </c>
      <c r="G3" s="179" t="s">
        <v>604</v>
      </c>
      <c r="H3" s="1765" t="s">
        <v>16</v>
      </c>
      <c r="I3" s="1765" t="s">
        <v>541</v>
      </c>
      <c r="J3" s="2539" t="s">
        <v>542</v>
      </c>
      <c r="K3" s="1765" t="s">
        <v>16</v>
      </c>
      <c r="L3" s="1765" t="s">
        <v>541</v>
      </c>
      <c r="M3" s="2539" t="s">
        <v>542</v>
      </c>
      <c r="N3" s="1765" t="s">
        <v>16</v>
      </c>
      <c r="O3" s="1765" t="s">
        <v>541</v>
      </c>
      <c r="P3" s="2539" t="s">
        <v>542</v>
      </c>
    </row>
    <row r="4" spans="1:16" ht="9">
      <c r="A4" s="195"/>
      <c r="B4" s="179" t="s">
        <v>543</v>
      </c>
      <c r="C4" s="196"/>
      <c r="D4" s="196"/>
      <c r="E4" s="196"/>
      <c r="F4" s="196"/>
      <c r="G4" s="196">
        <f>SUM(C4:F4)</f>
        <v>0</v>
      </c>
      <c r="I4" s="196">
        <f>обор.КРС!AB7</f>
        <v>43936.5</v>
      </c>
      <c r="J4" s="2539"/>
      <c r="L4" s="196">
        <f>обор.КРС!AA37-'КРС факт'!I4</f>
        <v>13805</v>
      </c>
      <c r="M4" s="2539"/>
      <c r="N4" s="196">
        <f>I4+L4</f>
        <v>57741.5</v>
      </c>
      <c r="O4" s="2547" t="s">
        <v>541</v>
      </c>
      <c r="P4" s="2539"/>
    </row>
    <row r="5" spans="1:16" ht="9">
      <c r="A5" s="195"/>
      <c r="B5" s="179" t="s">
        <v>544</v>
      </c>
      <c r="C5" s="196"/>
      <c r="D5" s="196"/>
      <c r="E5" s="196"/>
      <c r="F5" s="196"/>
      <c r="G5" s="196">
        <f>SUM(C5:F5)</f>
        <v>0</v>
      </c>
      <c r="H5" s="196">
        <f>обор.КРС!AB8</f>
        <v>42564</v>
      </c>
      <c r="J5" s="2539"/>
      <c r="K5" s="196">
        <f>обор.КРС!AA38-'КРС факт'!H5</f>
        <v>28334</v>
      </c>
      <c r="M5" s="2539"/>
      <c r="N5" s="196">
        <f>H5+K5</f>
        <v>70898</v>
      </c>
      <c r="O5" s="2548"/>
      <c r="P5" s="2539"/>
    </row>
    <row r="6" spans="1:16" ht="9">
      <c r="A6" s="195"/>
      <c r="B6" s="179" t="s">
        <v>545</v>
      </c>
      <c r="C6" s="196"/>
      <c r="D6" s="196"/>
      <c r="E6" s="196"/>
      <c r="F6" s="196"/>
      <c r="G6" s="196">
        <f t="shared" ref="G6:N6" si="0">G5-G4</f>
        <v>0</v>
      </c>
      <c r="H6" s="196">
        <f>H5-I4</f>
        <v>-1372.5</v>
      </c>
      <c r="I6" s="196"/>
      <c r="J6" s="2539"/>
      <c r="K6" s="196">
        <f>K5-L4</f>
        <v>14529</v>
      </c>
      <c r="L6" s="196"/>
      <c r="M6" s="2539"/>
      <c r="N6" s="196">
        <f t="shared" si="0"/>
        <v>13156.5</v>
      </c>
      <c r="O6" s="2548"/>
      <c r="P6" s="2539"/>
    </row>
    <row r="7" spans="1:16" s="87" customFormat="1" ht="9">
      <c r="A7" s="86"/>
      <c r="B7" s="175" t="s">
        <v>546</v>
      </c>
      <c r="C7" s="175"/>
      <c r="D7" s="175"/>
      <c r="E7" s="175"/>
      <c r="F7" s="181"/>
      <c r="G7" s="181"/>
      <c r="H7" s="181"/>
      <c r="I7" s="180"/>
      <c r="J7" s="2539"/>
      <c r="L7" s="181">
        <f>'КРС план'!J5</f>
        <v>43.694499999999991</v>
      </c>
      <c r="M7" s="2539"/>
      <c r="N7" s="196">
        <f>I7+L7</f>
        <v>43.694499999999991</v>
      </c>
      <c r="O7" s="2548"/>
      <c r="P7" s="2539"/>
    </row>
    <row r="8" spans="1:16" s="87" customFormat="1" ht="9">
      <c r="A8" s="86"/>
      <c r="B8" s="175" t="s">
        <v>547</v>
      </c>
      <c r="C8" s="175"/>
      <c r="D8" s="175"/>
      <c r="E8" s="175"/>
      <c r="F8" s="181">
        <v>239.6</v>
      </c>
      <c r="G8" s="181"/>
      <c r="H8" s="181"/>
      <c r="I8" s="180"/>
      <c r="J8" s="2539"/>
      <c r="K8" s="181">
        <f>обор.КРС!L38</f>
        <v>38.811710000000005</v>
      </c>
      <c r="L8" s="180"/>
      <c r="M8" s="2539"/>
      <c r="N8" s="196">
        <f>H8+K8</f>
        <v>38.811710000000005</v>
      </c>
      <c r="O8" s="2548"/>
      <c r="P8" s="2539"/>
    </row>
    <row r="9" spans="1:16" s="87" customFormat="1" ht="9">
      <c r="A9" s="86"/>
      <c r="B9" s="175" t="s">
        <v>548</v>
      </c>
      <c r="C9" s="175"/>
      <c r="D9" s="175"/>
      <c r="E9" s="175"/>
      <c r="F9" s="181"/>
      <c r="G9" s="181">
        <f t="shared" ref="G9" si="1">G8-G7</f>
        <v>0</v>
      </c>
      <c r="H9" s="181"/>
      <c r="I9" s="181"/>
      <c r="J9" s="2539"/>
      <c r="K9" s="1095">
        <f>K8-L7</f>
        <v>-4.8827899999999858</v>
      </c>
      <c r="L9" s="181"/>
      <c r="M9" s="2539"/>
      <c r="N9" s="1095">
        <f>N8-N7</f>
        <v>-4.8827899999999858</v>
      </c>
      <c r="O9" s="2548"/>
      <c r="P9" s="2539"/>
    </row>
    <row r="10" spans="1:16" s="87" customFormat="1" ht="9">
      <c r="A10" s="86"/>
      <c r="B10" s="175" t="s">
        <v>605</v>
      </c>
      <c r="C10" s="175"/>
      <c r="D10" s="175"/>
      <c r="E10" s="175"/>
      <c r="F10" s="181"/>
      <c r="G10" s="181"/>
      <c r="I10" s="181">
        <f>'КРС план'!H6</f>
        <v>677.63499999999999</v>
      </c>
      <c r="J10" s="2539"/>
      <c r="K10" s="180"/>
      <c r="L10" s="181"/>
      <c r="M10" s="2539"/>
      <c r="N10" s="196">
        <f>I10+L10</f>
        <v>677.63499999999999</v>
      </c>
      <c r="O10" s="2548"/>
      <c r="P10" s="2539"/>
    </row>
    <row r="11" spans="1:16" s="87" customFormat="1" ht="9">
      <c r="A11" s="86"/>
      <c r="B11" s="175" t="s">
        <v>607</v>
      </c>
      <c r="C11" s="175"/>
      <c r="D11" s="175"/>
      <c r="E11" s="175"/>
      <c r="F11" s="181"/>
      <c r="G11" s="181"/>
      <c r="H11" s="2311">
        <v>700.56</v>
      </c>
      <c r="J11" s="2539"/>
      <c r="K11" s="180"/>
      <c r="M11" s="2539"/>
      <c r="N11" s="196">
        <f>H11+K11</f>
        <v>700.56</v>
      </c>
      <c r="O11" s="2548"/>
      <c r="P11" s="2539"/>
    </row>
    <row r="12" spans="1:16" s="87" customFormat="1" ht="9">
      <c r="A12" s="86"/>
      <c r="B12" s="175" t="s">
        <v>606</v>
      </c>
      <c r="C12" s="175"/>
      <c r="D12" s="175"/>
      <c r="E12" s="175"/>
      <c r="F12" s="181"/>
      <c r="G12" s="181">
        <f t="shared" ref="G12" si="2">G11-G10</f>
        <v>0</v>
      </c>
      <c r="H12" s="1095">
        <f>H11-I10</f>
        <v>22.924999999999955</v>
      </c>
      <c r="I12" s="1095"/>
      <c r="J12" s="2539"/>
      <c r="K12" s="181"/>
      <c r="L12" s="1095"/>
      <c r="M12" s="2539"/>
      <c r="N12" s="1095">
        <f t="shared" ref="N12" si="3">N11-N10</f>
        <v>22.924999999999955</v>
      </c>
      <c r="O12" s="2548"/>
      <c r="P12" s="2539"/>
    </row>
    <row r="13" spans="1:16" s="87" customFormat="1">
      <c r="A13" s="86"/>
      <c r="B13" s="175"/>
      <c r="C13" s="175"/>
      <c r="D13" s="175"/>
      <c r="E13" s="175"/>
      <c r="F13" s="175"/>
      <c r="G13" s="175"/>
      <c r="H13" s="175"/>
      <c r="I13" s="181"/>
      <c r="J13" s="2540"/>
      <c r="K13" s="175"/>
      <c r="L13" s="181"/>
      <c r="M13" s="2540"/>
      <c r="N13" s="175"/>
      <c r="O13" s="2549"/>
      <c r="P13" s="2540"/>
    </row>
    <row r="14" spans="1:16" s="87" customFormat="1" ht="9" thickBot="1">
      <c r="A14" s="90"/>
      <c r="B14" s="175" t="s">
        <v>58</v>
      </c>
      <c r="C14" s="2536" t="s">
        <v>122</v>
      </c>
      <c r="D14" s="2537"/>
      <c r="E14" s="2537"/>
      <c r="F14" s="2537"/>
      <c r="G14" s="2537"/>
      <c r="H14" s="2537"/>
      <c r="I14" s="2537"/>
      <c r="J14" s="2537"/>
      <c r="K14" s="2537"/>
      <c r="L14" s="2537"/>
      <c r="M14" s="2537"/>
      <c r="N14" s="2537"/>
      <c r="O14" s="746"/>
      <c r="P14" s="747"/>
    </row>
    <row r="15" spans="1:16" s="87" customFormat="1" ht="11.25" customHeight="1">
      <c r="A15" s="86"/>
      <c r="B15" s="182" t="s">
        <v>60</v>
      </c>
      <c r="C15" s="183">
        <f>SUM(C16,C19,C22:C24,C25:C25)</f>
        <v>0</v>
      </c>
      <c r="D15" s="183">
        <f t="shared" ref="D15:O15" si="4">SUM(D16,D19,D22:D24,D25:D25)</f>
        <v>0</v>
      </c>
      <c r="E15" s="183">
        <f t="shared" si="4"/>
        <v>0</v>
      </c>
      <c r="F15" s="183">
        <f t="shared" si="4"/>
        <v>0</v>
      </c>
      <c r="G15" s="183">
        <f t="shared" si="4"/>
        <v>0</v>
      </c>
      <c r="H15" s="183">
        <f t="shared" si="4"/>
        <v>7033.4152789999998</v>
      </c>
      <c r="I15" s="183">
        <f>SUM(I16,I19,I22:I24,I25:I25)</f>
        <v>9098.4941183333322</v>
      </c>
      <c r="J15" s="747">
        <f>H15-I15</f>
        <v>-2065.0788393333323</v>
      </c>
      <c r="K15" s="183">
        <f>SUM(K16,K19,K22:K24,K25:K25)</f>
        <v>5563.9822599999998</v>
      </c>
      <c r="L15" s="183">
        <f>SUM(L16,L19,L22:L24,L25:L25)</f>
        <v>5757.9677791008371</v>
      </c>
      <c r="M15" s="747">
        <f>K15-L15</f>
        <v>-193.98551910083734</v>
      </c>
      <c r="N15" s="183">
        <f t="shared" si="4"/>
        <v>12597.397539</v>
      </c>
      <c r="O15" s="748">
        <f t="shared" si="4"/>
        <v>14856.46189743417</v>
      </c>
      <c r="P15" s="747">
        <f>N15-O15</f>
        <v>-2259.0643584341706</v>
      </c>
    </row>
    <row r="16" spans="1:16" ht="11.25" customHeight="1">
      <c r="A16" s="91"/>
      <c r="B16" s="176" t="s">
        <v>503</v>
      </c>
      <c r="C16" s="176"/>
      <c r="D16" s="176"/>
      <c r="E16" s="176"/>
      <c r="F16" s="176"/>
      <c r="G16" s="179"/>
      <c r="H16" s="2243">
        <f>обор.КРС!E108</f>
        <v>3892.8895499999999</v>
      </c>
      <c r="I16" s="176">
        <f>'КРС план'!H9</f>
        <v>4712.189625</v>
      </c>
      <c r="J16" s="747">
        <f t="shared" ref="J16:J18" si="5">H16-I16</f>
        <v>-819.30007500000011</v>
      </c>
      <c r="K16" s="2243">
        <v>2554.4146700000001</v>
      </c>
      <c r="L16" s="176">
        <f>'КРС план'!J9</f>
        <v>2681.8643025000001</v>
      </c>
      <c r="M16" s="747">
        <f t="shared" ref="M16:M18" si="6">K16-L16</f>
        <v>-127.44963250000001</v>
      </c>
      <c r="N16" s="176">
        <f>H16+K16</f>
        <v>6447.30422</v>
      </c>
      <c r="O16" s="749">
        <f>'КРС план'!L9</f>
        <v>7394.0539275000001</v>
      </c>
      <c r="P16" s="747">
        <f>N16-O16</f>
        <v>-946.74970750000011</v>
      </c>
    </row>
    <row r="17" spans="1:16" s="94" customFormat="1" ht="11.25" customHeight="1">
      <c r="A17" s="93"/>
      <c r="B17" s="176" t="s">
        <v>123</v>
      </c>
      <c r="C17" s="176"/>
      <c r="D17" s="176"/>
      <c r="E17" s="176"/>
      <c r="F17" s="176"/>
      <c r="G17" s="179"/>
      <c r="H17" s="2243">
        <f>обор.КРС!D108</f>
        <v>294.572</v>
      </c>
      <c r="I17" s="176">
        <f>'КРС план'!H10</f>
        <v>329.52375000000001</v>
      </c>
      <c r="J17" s="747">
        <f t="shared" si="5"/>
        <v>-34.951750000000004</v>
      </c>
      <c r="K17" s="2243">
        <v>174.89400000000001</v>
      </c>
      <c r="L17" s="176">
        <f>'КРС план'!J10</f>
        <v>147.41174999999998</v>
      </c>
      <c r="M17" s="747">
        <f t="shared" si="6"/>
        <v>27.482250000000022</v>
      </c>
      <c r="N17" s="176">
        <f>H17+K17</f>
        <v>469.46600000000001</v>
      </c>
      <c r="O17" s="749">
        <f>'КРС план'!L10</f>
        <v>476.93549999999999</v>
      </c>
      <c r="P17" s="747">
        <f>N17-O17</f>
        <v>-7.4694999999999823</v>
      </c>
    </row>
    <row r="18" spans="1:16" s="96" customFormat="1" ht="11.25" customHeight="1">
      <c r="A18" s="95"/>
      <c r="B18" s="184" t="s">
        <v>63</v>
      </c>
      <c r="C18" s="184" t="e">
        <f t="shared" ref="C18:H18" si="7">C16/C17*1000</f>
        <v>#DIV/0!</v>
      </c>
      <c r="D18" s="184" t="e">
        <f t="shared" si="7"/>
        <v>#DIV/0!</v>
      </c>
      <c r="E18" s="184" t="e">
        <f t="shared" si="7"/>
        <v>#DIV/0!</v>
      </c>
      <c r="F18" s="184" t="e">
        <f t="shared" si="7"/>
        <v>#DIV/0!</v>
      </c>
      <c r="G18" s="184" t="e">
        <f t="shared" si="7"/>
        <v>#DIV/0!</v>
      </c>
      <c r="H18" s="184">
        <f t="shared" si="7"/>
        <v>13215.409305704547</v>
      </c>
      <c r="I18" s="184">
        <f>I16/I17*1000</f>
        <v>14299.999999999998</v>
      </c>
      <c r="J18" s="747">
        <f t="shared" si="5"/>
        <v>-1084.5906942954516</v>
      </c>
      <c r="K18" s="184">
        <f>K16/K17*1000</f>
        <v>14605.502018365411</v>
      </c>
      <c r="L18" s="184">
        <f>L16/L17*1000</f>
        <v>18193.015838289692</v>
      </c>
      <c r="M18" s="747">
        <f t="shared" si="6"/>
        <v>-3587.5138199242811</v>
      </c>
      <c r="N18" s="184">
        <f>N16/N17*1000</f>
        <v>13733.271887634035</v>
      </c>
      <c r="O18" s="750">
        <f>O16/O17*1000</f>
        <v>15503.257626031193</v>
      </c>
      <c r="P18" s="747">
        <f>N18-O18</f>
        <v>-1769.9857383971575</v>
      </c>
    </row>
    <row r="19" spans="1:16" ht="11.25" customHeight="1" outlineLevel="1">
      <c r="A19" s="91"/>
      <c r="B19" s="176" t="s">
        <v>124</v>
      </c>
      <c r="C19" s="176"/>
      <c r="D19" s="176">
        <f>обор.КРС!G109</f>
        <v>0</v>
      </c>
      <c r="E19" s="176">
        <f>обор.КРС!I109</f>
        <v>0</v>
      </c>
      <c r="F19" s="176">
        <f>обор.КРС!M109</f>
        <v>0</v>
      </c>
      <c r="G19" s="179">
        <f>SUM(C19:F19)</f>
        <v>0</v>
      </c>
      <c r="H19" s="176"/>
      <c r="I19" s="176">
        <f>обор.КРС!O109</f>
        <v>0</v>
      </c>
      <c r="J19" s="747">
        <f t="shared" ref="J19:J38" si="8">H19-I19</f>
        <v>0</v>
      </c>
      <c r="K19" s="176"/>
      <c r="L19" s="176">
        <f>обор.КРС!R109</f>
        <v>0</v>
      </c>
      <c r="M19" s="747">
        <f t="shared" ref="M19:M38" si="9">K19-L19</f>
        <v>0</v>
      </c>
      <c r="N19" s="176">
        <f>SUM(H19:K19)</f>
        <v>0</v>
      </c>
      <c r="O19" s="749">
        <f>'КРС план'!L12</f>
        <v>0</v>
      </c>
      <c r="P19" s="747" t="e">
        <f>#REF!-O19</f>
        <v>#REF!</v>
      </c>
    </row>
    <row r="20" spans="1:16" s="94" customFormat="1" ht="11.25" customHeight="1" outlineLevel="1">
      <c r="A20" s="93"/>
      <c r="B20" s="176" t="s">
        <v>123</v>
      </c>
      <c r="C20" s="176"/>
      <c r="D20" s="176">
        <f>обор.КРС!F109</f>
        <v>0</v>
      </c>
      <c r="E20" s="176">
        <f>обор.КРС!H109</f>
        <v>0</v>
      </c>
      <c r="F20" s="176">
        <f>обор.КРС!L109</f>
        <v>0</v>
      </c>
      <c r="G20" s="179">
        <f>SUM(C20:F20)</f>
        <v>0</v>
      </c>
      <c r="H20" s="176"/>
      <c r="I20" s="176">
        <f>обор.КРС!N109</f>
        <v>0</v>
      </c>
      <c r="J20" s="747">
        <f t="shared" si="8"/>
        <v>0</v>
      </c>
      <c r="K20" s="176"/>
      <c r="L20" s="176">
        <f>обор.КРС!Q109</f>
        <v>0</v>
      </c>
      <c r="M20" s="747">
        <f t="shared" si="9"/>
        <v>0</v>
      </c>
      <c r="N20" s="176">
        <f>SUM(H20:K20)</f>
        <v>0</v>
      </c>
      <c r="O20" s="749">
        <f>'КРС план'!L13</f>
        <v>0</v>
      </c>
      <c r="P20" s="747" t="e">
        <f>#REF!-O20</f>
        <v>#REF!</v>
      </c>
    </row>
    <row r="21" spans="1:16" s="96" customFormat="1" ht="11.25" customHeight="1" outlineLevel="1">
      <c r="A21" s="95"/>
      <c r="B21" s="184" t="s">
        <v>63</v>
      </c>
      <c r="C21" s="184"/>
      <c r="D21" s="184" t="e">
        <f>D19/D20*1000</f>
        <v>#DIV/0!</v>
      </c>
      <c r="E21" s="184"/>
      <c r="F21" s="184" t="e">
        <f>F19/F20*1000</f>
        <v>#DIV/0!</v>
      </c>
      <c r="G21" s="184" t="e">
        <f>G19/G20*1000</f>
        <v>#DIV/0!</v>
      </c>
      <c r="H21" s="184"/>
      <c r="I21" s="184" t="e">
        <f>I19/I20*1000</f>
        <v>#DIV/0!</v>
      </c>
      <c r="J21" s="747" t="e">
        <f t="shared" si="8"/>
        <v>#DIV/0!</v>
      </c>
      <c r="K21" s="184"/>
      <c r="L21" s="184" t="e">
        <f>L19/L20*1000</f>
        <v>#DIV/0!</v>
      </c>
      <c r="M21" s="747" t="e">
        <f t="shared" si="9"/>
        <v>#DIV/0!</v>
      </c>
      <c r="N21" s="184" t="e">
        <f>N19/N20*1000</f>
        <v>#DIV/0!</v>
      </c>
      <c r="O21" s="750" t="e">
        <f>O19/O20*1000</f>
        <v>#DIV/0!</v>
      </c>
      <c r="P21" s="747" t="e">
        <f>#REF!-O21</f>
        <v>#REF!</v>
      </c>
    </row>
    <row r="22" spans="1:16" s="98" customFormat="1" ht="11.25" customHeight="1">
      <c r="A22" s="97"/>
      <c r="B22" s="176" t="s">
        <v>125</v>
      </c>
      <c r="C22" s="176"/>
      <c r="D22" s="176"/>
      <c r="E22" s="176"/>
      <c r="F22" s="176"/>
      <c r="G22" s="179">
        <f>SUM(C22:F22)</f>
        <v>0</v>
      </c>
      <c r="H22" s="2243">
        <f>обор.КРС!E109+обор.КРС!E113+обор.КРС!E114</f>
        <v>979.97552000000007</v>
      </c>
      <c r="I22" s="176">
        <f>'КРС план'!H15</f>
        <v>2004.6499100000001</v>
      </c>
      <c r="J22" s="747">
        <f t="shared" si="8"/>
        <v>-1024.6743900000001</v>
      </c>
      <c r="K22" s="2243">
        <f>220.16101</f>
        <v>220.16101</v>
      </c>
      <c r="L22" s="176">
        <f>'КРС план'!J15</f>
        <v>345.32556745223729</v>
      </c>
      <c r="M22" s="747">
        <f t="shared" si="9"/>
        <v>-125.16455745223729</v>
      </c>
      <c r="N22" s="176">
        <f t="shared" ref="N22:N28" si="10">H22+K22</f>
        <v>1200.13653</v>
      </c>
      <c r="O22" s="749">
        <f>'КРС план'!L15</f>
        <v>2349.9754774522376</v>
      </c>
      <c r="P22" s="747">
        <f>N22-O22</f>
        <v>-1149.8389474522376</v>
      </c>
    </row>
    <row r="23" spans="1:16" s="94" customFormat="1" ht="11.25" customHeight="1" outlineLevel="1">
      <c r="A23" s="93"/>
      <c r="B23" s="176" t="s">
        <v>126</v>
      </c>
      <c r="C23" s="176"/>
      <c r="D23" s="176"/>
      <c r="E23" s="176"/>
      <c r="F23" s="176"/>
      <c r="G23" s="179">
        <f t="shared" ref="G23:G38" si="11">SUM(C23:F23)</f>
        <v>0</v>
      </c>
      <c r="H23" s="2243">
        <f>обор.КРС!E110+обор.КРС!E111+обор.КРС!E112</f>
        <v>1697.5947699999999</v>
      </c>
      <c r="I23" s="176">
        <f>'КРС план'!H16</f>
        <v>1975.82125</v>
      </c>
      <c r="J23" s="747">
        <f t="shared" si="8"/>
        <v>-278.22648000000004</v>
      </c>
      <c r="K23" s="2243">
        <f>1462.89931+1106.10198</f>
        <v>2569.0012900000002</v>
      </c>
      <c r="L23" s="176">
        <f>'КРС план'!J16</f>
        <v>1615.7779091485997</v>
      </c>
      <c r="M23" s="747">
        <f t="shared" si="9"/>
        <v>953.22338085140041</v>
      </c>
      <c r="N23" s="176">
        <f t="shared" si="10"/>
        <v>4266.5960599999999</v>
      </c>
      <c r="O23" s="749">
        <f>'КРС план'!L16</f>
        <v>3591.5991591485999</v>
      </c>
      <c r="P23" s="747">
        <f t="shared" ref="P23:P53" si="12">N23-O23</f>
        <v>674.99690085139991</v>
      </c>
    </row>
    <row r="24" spans="1:16" s="98" customFormat="1" ht="11.25" customHeight="1">
      <c r="A24" s="97"/>
      <c r="B24" s="176" t="s">
        <v>127</v>
      </c>
      <c r="C24" s="176"/>
      <c r="D24" s="176"/>
      <c r="E24" s="176"/>
      <c r="F24" s="176"/>
      <c r="G24" s="179">
        <f t="shared" si="11"/>
        <v>0</v>
      </c>
      <c r="H24" s="2243">
        <v>78.490309999999994</v>
      </c>
      <c r="I24" s="176">
        <f>'КРС план'!H17</f>
        <v>91.666666666666671</v>
      </c>
      <c r="J24" s="747">
        <f t="shared" si="8"/>
        <v>-13.176356666666678</v>
      </c>
      <c r="K24" s="2243">
        <v>137.25529</v>
      </c>
      <c r="L24" s="176">
        <f>'КРС план'!J17</f>
        <v>115</v>
      </c>
      <c r="M24" s="747">
        <f t="shared" si="9"/>
        <v>22.255290000000002</v>
      </c>
      <c r="N24" s="176">
        <f t="shared" si="10"/>
        <v>215.7456</v>
      </c>
      <c r="O24" s="749">
        <f>'КРС план'!L17</f>
        <v>206.66666666666669</v>
      </c>
      <c r="P24" s="747">
        <f t="shared" si="12"/>
        <v>9.0789333333333104</v>
      </c>
    </row>
    <row r="25" spans="1:16" ht="21.75" customHeight="1">
      <c r="A25" s="91"/>
      <c r="B25" s="185" t="s">
        <v>71</v>
      </c>
      <c r="C25" s="176"/>
      <c r="D25" s="176"/>
      <c r="E25" s="176"/>
      <c r="F25" s="176"/>
      <c r="G25" s="179">
        <f t="shared" si="11"/>
        <v>0</v>
      </c>
      <c r="H25" s="2243">
        <f>14.432+0.59181+6.94712+37.39432+0.51799+122.4+128.057749+41.61875+2.25594+24.77405+5.0754+0.4</f>
        <v>384.46512899999999</v>
      </c>
      <c r="I25" s="176">
        <f>'КРС план'!H18</f>
        <v>314.16666666666669</v>
      </c>
      <c r="J25" s="747">
        <f t="shared" si="8"/>
        <v>70.298462333333305</v>
      </c>
      <c r="K25" s="2243">
        <f>1.55+81.6</f>
        <v>83.149999999999991</v>
      </c>
      <c r="L25" s="176">
        <f>'КРС план'!J18</f>
        <v>1000</v>
      </c>
      <c r="M25" s="747">
        <f t="shared" si="9"/>
        <v>-916.85</v>
      </c>
      <c r="N25" s="176">
        <f t="shared" si="10"/>
        <v>467.61512899999997</v>
      </c>
      <c r="O25" s="749">
        <f>'КРС план'!L18</f>
        <v>1314.1666666666667</v>
      </c>
      <c r="P25" s="747">
        <f t="shared" si="12"/>
        <v>-846.55153766666672</v>
      </c>
    </row>
    <row r="26" spans="1:16" s="87" customFormat="1" ht="11.25" customHeight="1">
      <c r="A26" s="86"/>
      <c r="B26" s="88" t="s">
        <v>549</v>
      </c>
      <c r="C26" s="176"/>
      <c r="D26" s="176"/>
      <c r="E26" s="176"/>
      <c r="F26" s="176"/>
      <c r="G26" s="179">
        <f t="shared" si="11"/>
        <v>0</v>
      </c>
      <c r="H26" s="2243">
        <v>1219.79692</v>
      </c>
      <c r="I26" s="176">
        <f>'КРС план'!H19</f>
        <v>1015.5800200000001</v>
      </c>
      <c r="J26" s="747">
        <f t="shared" si="8"/>
        <v>204.2168999999999</v>
      </c>
      <c r="K26" s="2243">
        <v>60.919020000000003</v>
      </c>
      <c r="L26" s="176">
        <f>'КРС план'!J19</f>
        <v>60.863399999999999</v>
      </c>
      <c r="M26" s="747">
        <f t="shared" si="9"/>
        <v>5.5620000000004666E-2</v>
      </c>
      <c r="N26" s="176">
        <f t="shared" si="10"/>
        <v>1280.71594</v>
      </c>
      <c r="O26" s="749">
        <f>'КРС план'!L19</f>
        <v>1076.4434200000001</v>
      </c>
      <c r="P26" s="747">
        <f t="shared" si="12"/>
        <v>204.27251999999999</v>
      </c>
    </row>
    <row r="27" spans="1:16" s="87" customFormat="1" ht="11.25" customHeight="1">
      <c r="A27" s="86"/>
      <c r="B27" s="88" t="s">
        <v>73</v>
      </c>
      <c r="C27" s="176"/>
      <c r="D27" s="176"/>
      <c r="E27" s="176"/>
      <c r="F27" s="176"/>
      <c r="G27" s="179">
        <f t="shared" si="11"/>
        <v>0</v>
      </c>
      <c r="H27" s="2243">
        <v>1315.1697899999999</v>
      </c>
      <c r="I27" s="176">
        <f>'КРС план'!H20</f>
        <v>1130</v>
      </c>
      <c r="J27" s="747">
        <f t="shared" si="8"/>
        <v>185.16978999999992</v>
      </c>
      <c r="K27" s="2243">
        <v>1418.0169100000001</v>
      </c>
      <c r="L27" s="176">
        <f>'КРС план'!J20</f>
        <v>1320</v>
      </c>
      <c r="M27" s="747">
        <f t="shared" si="9"/>
        <v>98.016910000000053</v>
      </c>
      <c r="N27" s="176">
        <f t="shared" si="10"/>
        <v>2733.1867000000002</v>
      </c>
      <c r="O27" s="749">
        <f>'КРС план'!L20</f>
        <v>2450</v>
      </c>
      <c r="P27" s="747">
        <f t="shared" si="12"/>
        <v>283.1867000000002</v>
      </c>
    </row>
    <row r="28" spans="1:16" s="87" customFormat="1" ht="11.25" customHeight="1">
      <c r="A28" s="86"/>
      <c r="B28" s="88" t="s">
        <v>74</v>
      </c>
      <c r="C28" s="176"/>
      <c r="D28" s="176"/>
      <c r="E28" s="176"/>
      <c r="F28" s="176"/>
      <c r="G28" s="179">
        <f t="shared" si="11"/>
        <v>0</v>
      </c>
      <c r="H28" s="2243">
        <f>15.83537+395.89131</f>
        <v>411.72667999999999</v>
      </c>
      <c r="I28" s="176">
        <f>'КРС план'!H21</f>
        <v>354.36799999999999</v>
      </c>
      <c r="J28" s="747">
        <f t="shared" si="8"/>
        <v>57.358679999999993</v>
      </c>
      <c r="K28" s="2243">
        <f>16.80968+420.20381</f>
        <v>437.01348999999999</v>
      </c>
      <c r="L28" s="176">
        <f>'КРС план'!J21</f>
        <v>413.952</v>
      </c>
      <c r="M28" s="747">
        <f t="shared" si="9"/>
        <v>23.061489999999992</v>
      </c>
      <c r="N28" s="176">
        <f t="shared" si="10"/>
        <v>848.74017000000003</v>
      </c>
      <c r="O28" s="749">
        <f>'КРС план'!L21</f>
        <v>768.31999999999994</v>
      </c>
      <c r="P28" s="747">
        <f t="shared" si="12"/>
        <v>80.420170000000098</v>
      </c>
    </row>
    <row r="29" spans="1:16" s="87" customFormat="1" ht="11.25" customHeight="1">
      <c r="A29" s="86"/>
      <c r="B29" s="88" t="s">
        <v>75</v>
      </c>
      <c r="C29" s="176"/>
      <c r="D29" s="176"/>
      <c r="E29" s="176"/>
      <c r="F29" s="176"/>
      <c r="G29" s="176">
        <f t="shared" ref="G29:O29" si="13">G30+G31+G32</f>
        <v>0</v>
      </c>
      <c r="H29" s="176">
        <f t="shared" si="13"/>
        <v>268.36295000000001</v>
      </c>
      <c r="I29" s="176">
        <f t="shared" si="13"/>
        <v>125</v>
      </c>
      <c r="J29" s="747">
        <f t="shared" si="8"/>
        <v>143.36295000000001</v>
      </c>
      <c r="K29" s="176">
        <f>K30+K31+K32</f>
        <v>0</v>
      </c>
      <c r="L29" s="176">
        <f t="shared" ref="L29" si="14">L30+L31+L32</f>
        <v>100</v>
      </c>
      <c r="M29" s="747">
        <f t="shared" si="9"/>
        <v>-100</v>
      </c>
      <c r="N29" s="176">
        <f t="shared" si="13"/>
        <v>268.36295000000001</v>
      </c>
      <c r="O29" s="751">
        <f t="shared" si="13"/>
        <v>225</v>
      </c>
      <c r="P29" s="747">
        <f t="shared" si="12"/>
        <v>43.362950000000012</v>
      </c>
    </row>
    <row r="30" spans="1:16" s="87" customFormat="1" ht="11.25" customHeight="1">
      <c r="A30" s="86"/>
      <c r="B30" s="101" t="s">
        <v>130</v>
      </c>
      <c r="C30" s="176"/>
      <c r="D30" s="176"/>
      <c r="E30" s="176"/>
      <c r="F30" s="176"/>
      <c r="G30" s="179">
        <f>SUM(C30:F30)</f>
        <v>0</v>
      </c>
      <c r="H30" s="2243">
        <f>224.07552+0.532+38.55543</f>
        <v>263.16295000000002</v>
      </c>
      <c r="I30" s="176">
        <f>'КРС план'!H23</f>
        <v>125</v>
      </c>
      <c r="J30" s="747">
        <f t="shared" si="8"/>
        <v>138.16295000000002</v>
      </c>
      <c r="K30" s="176"/>
      <c r="L30" s="176">
        <f>'КРС план'!J23</f>
        <v>100</v>
      </c>
      <c r="M30" s="747">
        <f t="shared" si="9"/>
        <v>-100</v>
      </c>
      <c r="N30" s="176">
        <f t="shared" ref="N30:N32" si="15">H30+K30</f>
        <v>263.16295000000002</v>
      </c>
      <c r="O30" s="749">
        <f>'КРС план'!L23</f>
        <v>225</v>
      </c>
      <c r="P30" s="747">
        <f t="shared" si="12"/>
        <v>38.162950000000023</v>
      </c>
    </row>
    <row r="31" spans="1:16" s="324" customFormat="1" ht="11.25" customHeight="1">
      <c r="A31" s="195"/>
      <c r="B31" s="101" t="s">
        <v>77</v>
      </c>
      <c r="C31" s="323"/>
      <c r="D31" s="323"/>
      <c r="E31" s="323"/>
      <c r="F31" s="323"/>
      <c r="G31" s="179">
        <f>SUM(C31:F31)</f>
        <v>0</v>
      </c>
      <c r="H31" s="323"/>
      <c r="I31" s="176">
        <f>'КРС план'!H24</f>
        <v>0</v>
      </c>
      <c r="J31" s="747">
        <f t="shared" si="8"/>
        <v>0</v>
      </c>
      <c r="K31" s="323"/>
      <c r="L31" s="176">
        <f>'КРС план'!J24</f>
        <v>0</v>
      </c>
      <c r="M31" s="747">
        <f t="shared" si="9"/>
        <v>0</v>
      </c>
      <c r="N31" s="176">
        <f t="shared" si="15"/>
        <v>0</v>
      </c>
      <c r="O31" s="749">
        <f>'КРС план'!L24</f>
        <v>0</v>
      </c>
      <c r="P31" s="747">
        <f t="shared" si="12"/>
        <v>0</v>
      </c>
    </row>
    <row r="32" spans="1:16" ht="18" customHeight="1">
      <c r="A32" s="91"/>
      <c r="B32" s="101" t="s">
        <v>78</v>
      </c>
      <c r="C32" s="187"/>
      <c r="D32" s="187"/>
      <c r="E32" s="187"/>
      <c r="F32" s="187"/>
      <c r="G32" s="179">
        <f>SUM(C32:F32)</f>
        <v>0</v>
      </c>
      <c r="H32" s="2312">
        <v>5.2</v>
      </c>
      <c r="I32" s="176">
        <f>'КРС план'!H25</f>
        <v>0</v>
      </c>
      <c r="J32" s="747">
        <f t="shared" si="8"/>
        <v>5.2</v>
      </c>
      <c r="K32" s="187"/>
      <c r="L32" s="176">
        <f>'КРС план'!J25</f>
        <v>0</v>
      </c>
      <c r="M32" s="747">
        <f t="shared" si="9"/>
        <v>0</v>
      </c>
      <c r="N32" s="176">
        <f t="shared" si="15"/>
        <v>5.2</v>
      </c>
      <c r="O32" s="749">
        <f>'КРС план'!L25</f>
        <v>0</v>
      </c>
      <c r="P32" s="747">
        <f t="shared" si="12"/>
        <v>5.2</v>
      </c>
    </row>
    <row r="33" spans="1:16" s="87" customFormat="1" ht="11.25" customHeight="1">
      <c r="A33" s="86"/>
      <c r="B33" s="88" t="s">
        <v>79</v>
      </c>
      <c r="C33" s="183">
        <v>0</v>
      </c>
      <c r="D33" s="183">
        <f t="shared" ref="D33:N33" si="16">SUM(D34:D38)</f>
        <v>0</v>
      </c>
      <c r="E33" s="183">
        <f>SUM(E34:E38)</f>
        <v>0</v>
      </c>
      <c r="F33" s="183">
        <f>SUM(F34:F38)</f>
        <v>0</v>
      </c>
      <c r="G33" s="183">
        <f t="shared" si="16"/>
        <v>0</v>
      </c>
      <c r="H33" s="183">
        <f t="shared" si="16"/>
        <v>273.36304999999999</v>
      </c>
      <c r="I33" s="183">
        <f t="shared" si="16"/>
        <v>300</v>
      </c>
      <c r="J33" s="747">
        <f t="shared" si="8"/>
        <v>-26.636950000000013</v>
      </c>
      <c r="K33" s="183">
        <f>SUM(K34:K38)</f>
        <v>182.41899999999998</v>
      </c>
      <c r="L33" s="183">
        <f t="shared" ref="L33" si="17">SUM(L34:L38)</f>
        <v>0</v>
      </c>
      <c r="M33" s="747">
        <f t="shared" si="9"/>
        <v>182.41899999999998</v>
      </c>
      <c r="N33" s="183">
        <f t="shared" si="16"/>
        <v>455.78205000000003</v>
      </c>
      <c r="O33" s="748">
        <f>SUM(O34:O38)</f>
        <v>300</v>
      </c>
      <c r="P33" s="747">
        <f t="shared" si="12"/>
        <v>155.78205000000003</v>
      </c>
    </row>
    <row r="34" spans="1:16" ht="23.25" customHeight="1">
      <c r="A34" s="91"/>
      <c r="B34" s="186" t="s">
        <v>563</v>
      </c>
      <c r="C34" s="176"/>
      <c r="D34" s="176"/>
      <c r="E34" s="176"/>
      <c r="F34" s="176"/>
      <c r="G34" s="179">
        <f>SUM(C34:F34)</f>
        <v>0</v>
      </c>
      <c r="H34" s="2243">
        <f>37.567+5.4+18.3+0.95+12.1402+189.10585</f>
        <v>263.46305000000001</v>
      </c>
      <c r="I34" s="176">
        <f>'КРС план'!H27</f>
        <v>300</v>
      </c>
      <c r="J34" s="747">
        <f t="shared" si="8"/>
        <v>-36.53694999999999</v>
      </c>
      <c r="K34" s="2243">
        <v>16.545000000000002</v>
      </c>
      <c r="L34" s="176">
        <f>'КРС план'!J27</f>
        <v>0</v>
      </c>
      <c r="M34" s="747">
        <f t="shared" si="9"/>
        <v>16.545000000000002</v>
      </c>
      <c r="N34" s="176">
        <f t="shared" ref="N34:N38" si="18">H34+K34</f>
        <v>280.00805000000003</v>
      </c>
      <c r="O34" s="749">
        <f>'КРС план'!L27</f>
        <v>300</v>
      </c>
      <c r="P34" s="747">
        <f t="shared" si="12"/>
        <v>-19.991949999999974</v>
      </c>
    </row>
    <row r="35" spans="1:16" ht="11.25" customHeight="1">
      <c r="A35" s="91"/>
      <c r="B35" s="187" t="s">
        <v>131</v>
      </c>
      <c r="C35" s="187"/>
      <c r="D35" s="187"/>
      <c r="E35" s="187"/>
      <c r="F35" s="187"/>
      <c r="G35" s="179">
        <f t="shared" si="11"/>
        <v>0</v>
      </c>
      <c r="H35" s="2312">
        <v>9.9</v>
      </c>
      <c r="I35" s="176">
        <f>'КРС план'!H28</f>
        <v>0</v>
      </c>
      <c r="J35" s="747">
        <f t="shared" si="8"/>
        <v>9.9</v>
      </c>
      <c r="K35" s="187"/>
      <c r="L35" s="176">
        <f>'КРС план'!J28</f>
        <v>0</v>
      </c>
      <c r="M35" s="747">
        <f t="shared" si="9"/>
        <v>0</v>
      </c>
      <c r="N35" s="176">
        <f t="shared" si="18"/>
        <v>9.9</v>
      </c>
      <c r="O35" s="749">
        <f>'КРС план'!L29</f>
        <v>0</v>
      </c>
      <c r="P35" s="747">
        <f t="shared" si="12"/>
        <v>9.9</v>
      </c>
    </row>
    <row r="36" spans="1:16" ht="11.25" customHeight="1">
      <c r="A36" s="91"/>
      <c r="B36" s="187" t="s">
        <v>82</v>
      </c>
      <c r="C36" s="187"/>
      <c r="D36" s="187"/>
      <c r="E36" s="187"/>
      <c r="F36" s="187"/>
      <c r="G36" s="179">
        <f t="shared" si="11"/>
        <v>0</v>
      </c>
      <c r="H36" s="187"/>
      <c r="I36" s="187"/>
      <c r="J36" s="747">
        <f t="shared" si="8"/>
        <v>0</v>
      </c>
      <c r="K36" s="187"/>
      <c r="L36" s="176">
        <f>'КРС план'!J29</f>
        <v>0</v>
      </c>
      <c r="M36" s="747">
        <f t="shared" si="9"/>
        <v>0</v>
      </c>
      <c r="N36" s="176">
        <f t="shared" si="18"/>
        <v>0</v>
      </c>
      <c r="O36" s="749">
        <f>'КРС план'!L30</f>
        <v>0</v>
      </c>
      <c r="P36" s="747">
        <f t="shared" si="12"/>
        <v>0</v>
      </c>
    </row>
    <row r="37" spans="1:16" s="87" customFormat="1" ht="11.25" customHeight="1">
      <c r="A37" s="86"/>
      <c r="B37" s="187" t="s">
        <v>83</v>
      </c>
      <c r="C37" s="187"/>
      <c r="D37" s="187"/>
      <c r="E37" s="187"/>
      <c r="F37" s="187"/>
      <c r="G37" s="179">
        <f t="shared" si="11"/>
        <v>0</v>
      </c>
      <c r="H37" s="1791"/>
      <c r="I37" s="187"/>
      <c r="J37" s="747">
        <f t="shared" si="8"/>
        <v>0</v>
      </c>
      <c r="K37" s="187"/>
      <c r="L37" s="176">
        <f>'КРС план'!J30</f>
        <v>0</v>
      </c>
      <c r="M37" s="747">
        <f t="shared" si="9"/>
        <v>0</v>
      </c>
      <c r="N37" s="176">
        <f t="shared" si="18"/>
        <v>0</v>
      </c>
      <c r="O37" s="749">
        <f>'КРС план'!L31</f>
        <v>0</v>
      </c>
      <c r="P37" s="747">
        <f t="shared" si="12"/>
        <v>0</v>
      </c>
    </row>
    <row r="38" spans="1:16" s="87" customFormat="1" ht="11.25" customHeight="1" thickBot="1">
      <c r="A38" s="86"/>
      <c r="B38" s="190" t="s">
        <v>88</v>
      </c>
      <c r="C38" s="190"/>
      <c r="D38" s="190"/>
      <c r="E38" s="176"/>
      <c r="F38" s="176"/>
      <c r="G38" s="179">
        <f t="shared" si="11"/>
        <v>0</v>
      </c>
      <c r="H38" s="176"/>
      <c r="I38" s="176"/>
      <c r="J38" s="747">
        <f t="shared" si="8"/>
        <v>0</v>
      </c>
      <c r="K38" s="2243">
        <v>165.874</v>
      </c>
      <c r="L38" s="176"/>
      <c r="M38" s="747">
        <f t="shared" si="9"/>
        <v>165.874</v>
      </c>
      <c r="N38" s="176">
        <f t="shared" si="18"/>
        <v>165.874</v>
      </c>
      <c r="O38" s="749">
        <f>'КРС план'!L31</f>
        <v>0</v>
      </c>
      <c r="P38" s="747">
        <f t="shared" si="12"/>
        <v>165.874</v>
      </c>
    </row>
    <row r="39" spans="1:16" s="87" customFormat="1" ht="11.25" customHeight="1" thickBot="1">
      <c r="A39" s="103"/>
      <c r="B39" s="193" t="s">
        <v>18</v>
      </c>
      <c r="C39" s="194">
        <f t="shared" ref="C39:O39" si="19">C15+C26+C27+C28+C29+C33</f>
        <v>0</v>
      </c>
      <c r="D39" s="194">
        <f t="shared" si="19"/>
        <v>0</v>
      </c>
      <c r="E39" s="194">
        <f t="shared" si="19"/>
        <v>0</v>
      </c>
      <c r="F39" s="194">
        <f t="shared" si="19"/>
        <v>0</v>
      </c>
      <c r="G39" s="194">
        <f t="shared" si="19"/>
        <v>0</v>
      </c>
      <c r="H39" s="194">
        <f t="shared" si="19"/>
        <v>10521.834669</v>
      </c>
      <c r="I39" s="194">
        <f>I15+I26+I27+I28+I29+I33</f>
        <v>12023.442138333332</v>
      </c>
      <c r="J39" s="747">
        <f t="shared" ref="J39:J49" si="20">G39-I39</f>
        <v>-12023.442138333332</v>
      </c>
      <c r="K39" s="194">
        <f t="shared" si="19"/>
        <v>7662.3506800000005</v>
      </c>
      <c r="L39" s="194">
        <f>L15+L26+L27+L28+L29+L33</f>
        <v>7652.7831791008375</v>
      </c>
      <c r="M39" s="747">
        <f t="shared" ref="M39:M49" si="21">J39-L39</f>
        <v>-19676.225317434168</v>
      </c>
      <c r="N39" s="194">
        <f t="shared" si="19"/>
        <v>18184.185348999999</v>
      </c>
      <c r="O39" s="752">
        <f t="shared" si="19"/>
        <v>19676.225317434168</v>
      </c>
      <c r="P39" s="747">
        <f t="shared" si="12"/>
        <v>-1492.0399684341683</v>
      </c>
    </row>
    <row r="40" spans="1:16" ht="11.25" customHeight="1">
      <c r="A40" s="104"/>
      <c r="B40" s="192" t="s">
        <v>102</v>
      </c>
      <c r="C40" s="192">
        <f t="shared" ref="C40:N40" si="22">SUM(C41:C46)</f>
        <v>0</v>
      </c>
      <c r="D40" s="192">
        <f t="shared" si="22"/>
        <v>0</v>
      </c>
      <c r="E40" s="192">
        <f t="shared" si="22"/>
        <v>0</v>
      </c>
      <c r="F40" s="192">
        <f t="shared" si="22"/>
        <v>0</v>
      </c>
      <c r="G40" s="192">
        <f t="shared" si="22"/>
        <v>0</v>
      </c>
      <c r="H40" s="192">
        <f t="shared" si="22"/>
        <v>0</v>
      </c>
      <c r="I40" s="192">
        <f t="shared" si="22"/>
        <v>0</v>
      </c>
      <c r="J40" s="747">
        <f>H40-I40</f>
        <v>0</v>
      </c>
      <c r="K40" s="192">
        <f t="shared" si="22"/>
        <v>0</v>
      </c>
      <c r="L40" s="192">
        <f t="shared" ref="L40" si="23">SUM(L41:L46)</f>
        <v>0</v>
      </c>
      <c r="M40" s="747">
        <f>K40-L40</f>
        <v>0</v>
      </c>
      <c r="N40" s="192">
        <f t="shared" si="22"/>
        <v>0</v>
      </c>
      <c r="O40" s="753">
        <f>SUM(O41:O46)</f>
        <v>0</v>
      </c>
      <c r="P40" s="747">
        <f t="shared" si="12"/>
        <v>0</v>
      </c>
    </row>
    <row r="41" spans="1:16" ht="11.25" hidden="1" customHeight="1" outlineLevel="1">
      <c r="A41" s="105"/>
      <c r="B41" s="106" t="s">
        <v>422</v>
      </c>
      <c r="C41" s="187"/>
      <c r="D41" s="187"/>
      <c r="E41" s="187"/>
      <c r="F41" s="187"/>
      <c r="G41" s="187">
        <f t="shared" ref="G41:G48" si="24">SUM(C41:F41)</f>
        <v>0</v>
      </c>
      <c r="H41" s="187"/>
      <c r="I41" s="187"/>
      <c r="J41" s="747">
        <f t="shared" si="20"/>
        <v>0</v>
      </c>
      <c r="K41" s="187"/>
      <c r="L41" s="187"/>
      <c r="M41" s="747">
        <f t="shared" si="21"/>
        <v>0</v>
      </c>
      <c r="N41" s="187">
        <f t="shared" ref="N41:N46" si="25">SUM(H41:K41)</f>
        <v>0</v>
      </c>
      <c r="O41" s="749">
        <f>'КРС план'!L35</f>
        <v>0</v>
      </c>
      <c r="P41" s="747">
        <f t="shared" si="12"/>
        <v>0</v>
      </c>
    </row>
    <row r="42" spans="1:16" ht="11.25" hidden="1" customHeight="1" outlineLevel="1">
      <c r="A42" s="105"/>
      <c r="B42" s="106" t="s">
        <v>461</v>
      </c>
      <c r="C42" s="187"/>
      <c r="D42" s="187"/>
      <c r="E42" s="187"/>
      <c r="F42" s="187"/>
      <c r="G42" s="187">
        <f t="shared" si="24"/>
        <v>0</v>
      </c>
      <c r="H42" s="187"/>
      <c r="I42" s="187"/>
      <c r="J42" s="747">
        <f t="shared" si="20"/>
        <v>0</v>
      </c>
      <c r="K42" s="187"/>
      <c r="L42" s="187"/>
      <c r="M42" s="747">
        <f t="shared" si="21"/>
        <v>0</v>
      </c>
      <c r="N42" s="187">
        <f t="shared" si="25"/>
        <v>0</v>
      </c>
      <c r="O42" s="749">
        <f>'КРС план'!L36</f>
        <v>0</v>
      </c>
      <c r="P42" s="747">
        <f t="shared" si="12"/>
        <v>0</v>
      </c>
    </row>
    <row r="43" spans="1:16" s="87" customFormat="1" ht="11.25" hidden="1" customHeight="1" outlineLevel="1">
      <c r="A43" s="282"/>
      <c r="B43" s="106" t="s">
        <v>462</v>
      </c>
      <c r="C43" s="88"/>
      <c r="D43" s="88"/>
      <c r="E43" s="88"/>
      <c r="F43" s="88"/>
      <c r="G43" s="187">
        <f t="shared" si="24"/>
        <v>0</v>
      </c>
      <c r="H43" s="88"/>
      <c r="I43" s="88"/>
      <c r="J43" s="747">
        <f t="shared" si="20"/>
        <v>0</v>
      </c>
      <c r="K43" s="88"/>
      <c r="L43" s="88"/>
      <c r="M43" s="747">
        <f t="shared" si="21"/>
        <v>0</v>
      </c>
      <c r="N43" s="187">
        <f t="shared" si="25"/>
        <v>0</v>
      </c>
      <c r="O43" s="749">
        <f>'КРС план'!L37</f>
        <v>0</v>
      </c>
      <c r="P43" s="747">
        <f t="shared" si="12"/>
        <v>0</v>
      </c>
    </row>
    <row r="44" spans="1:16" s="87" customFormat="1" ht="11.25" hidden="1" customHeight="1" outlineLevel="1">
      <c r="A44" s="282"/>
      <c r="B44" s="105" t="s">
        <v>133</v>
      </c>
      <c r="C44" s="88"/>
      <c r="D44" s="88"/>
      <c r="E44" s="88"/>
      <c r="F44" s="88"/>
      <c r="G44" s="187">
        <f t="shared" si="24"/>
        <v>0</v>
      </c>
      <c r="H44" s="88"/>
      <c r="I44" s="88"/>
      <c r="J44" s="747">
        <f t="shared" si="20"/>
        <v>0</v>
      </c>
      <c r="K44" s="88"/>
      <c r="L44" s="88"/>
      <c r="M44" s="747">
        <f t="shared" si="21"/>
        <v>0</v>
      </c>
      <c r="N44" s="187">
        <f t="shared" si="25"/>
        <v>0</v>
      </c>
      <c r="O44" s="749">
        <f>'КРС план'!L38</f>
        <v>0</v>
      </c>
      <c r="P44" s="747">
        <f t="shared" si="12"/>
        <v>0</v>
      </c>
    </row>
    <row r="45" spans="1:16" s="87" customFormat="1" ht="11.25" hidden="1" customHeight="1" outlineLevel="1">
      <c r="A45" s="282"/>
      <c r="B45" s="105" t="s">
        <v>103</v>
      </c>
      <c r="C45" s="88"/>
      <c r="D45" s="88"/>
      <c r="E45" s="88"/>
      <c r="F45" s="88"/>
      <c r="G45" s="187">
        <f t="shared" si="24"/>
        <v>0</v>
      </c>
      <c r="H45" s="88"/>
      <c r="I45" s="88"/>
      <c r="J45" s="747">
        <f t="shared" si="20"/>
        <v>0</v>
      </c>
      <c r="K45" s="88"/>
      <c r="L45" s="88"/>
      <c r="M45" s="747">
        <f t="shared" si="21"/>
        <v>0</v>
      </c>
      <c r="N45" s="187">
        <f t="shared" si="25"/>
        <v>0</v>
      </c>
      <c r="O45" s="749">
        <f>'КРС план'!L39</f>
        <v>0</v>
      </c>
      <c r="P45" s="747">
        <f t="shared" si="12"/>
        <v>0</v>
      </c>
    </row>
    <row r="46" spans="1:16" s="87" customFormat="1" ht="11.25" hidden="1" customHeight="1" outlineLevel="1" collapsed="1">
      <c r="A46" s="282"/>
      <c r="B46" s="88" t="s">
        <v>550</v>
      </c>
      <c r="C46" s="88"/>
      <c r="D46" s="88"/>
      <c r="E46" s="88"/>
      <c r="F46" s="88"/>
      <c r="G46" s="187">
        <f t="shared" si="24"/>
        <v>0</v>
      </c>
      <c r="H46" s="88"/>
      <c r="I46" s="88"/>
      <c r="J46" s="747">
        <f t="shared" si="20"/>
        <v>0</v>
      </c>
      <c r="K46" s="88"/>
      <c r="L46" s="88"/>
      <c r="M46" s="747">
        <f t="shared" si="21"/>
        <v>0</v>
      </c>
      <c r="N46" s="187">
        <f t="shared" si="25"/>
        <v>0</v>
      </c>
      <c r="O46" s="749">
        <f>'КРС план'!L39</f>
        <v>0</v>
      </c>
      <c r="P46" s="747">
        <f t="shared" si="12"/>
        <v>0</v>
      </c>
    </row>
    <row r="47" spans="1:16" s="87" customFormat="1" ht="11.25" customHeight="1" collapsed="1">
      <c r="A47" s="100"/>
      <c r="B47" s="88" t="s">
        <v>89</v>
      </c>
      <c r="C47" s="88">
        <f>'вспом.пр-ва факт'!AC59</f>
        <v>29.235370000000003</v>
      </c>
      <c r="D47" s="88">
        <f>'вспом.пр-ва факт'!AC60</f>
        <v>1366.4024300000001</v>
      </c>
      <c r="E47" s="88">
        <f>'вспом.пр-ва факт'!AC61</f>
        <v>122.68029</v>
      </c>
      <c r="F47" s="88">
        <f>'вспом.пр-ва факт'!AC62</f>
        <v>3572.7619199999999</v>
      </c>
      <c r="G47" s="187">
        <f t="shared" si="24"/>
        <v>5091.0800099999997</v>
      </c>
      <c r="H47" s="88">
        <f>'вспом.пр-ва факт'!AC80</f>
        <v>924.44007999999997</v>
      </c>
      <c r="I47" s="88">
        <f>'КРС план'!H40</f>
        <v>1423.419816166177</v>
      </c>
      <c r="J47" s="747">
        <f>H47-I47</f>
        <v>-498.97973616617708</v>
      </c>
      <c r="K47" s="88">
        <f>'вспом.пр-ва факт'!AC79</f>
        <v>154.58655999999999</v>
      </c>
      <c r="L47" s="88">
        <f>'КРС план'!J40</f>
        <v>429.79271483076809</v>
      </c>
      <c r="M47" s="747">
        <f>K47-L47</f>
        <v>-275.20615483076813</v>
      </c>
      <c r="N47" s="176">
        <f>H47+K47</f>
        <v>1079.02664</v>
      </c>
      <c r="O47" s="749">
        <f>'КРС план'!L40</f>
        <v>8708.5467237196699</v>
      </c>
      <c r="P47" s="747">
        <f t="shared" si="12"/>
        <v>-7629.5200837196699</v>
      </c>
    </row>
    <row r="48" spans="1:16" ht="11.25" customHeight="1" thickBot="1">
      <c r="A48" s="102"/>
      <c r="B48" s="187" t="s">
        <v>107</v>
      </c>
      <c r="C48" s="187">
        <f>'вспом.пр-ва факт'!AD59</f>
        <v>0</v>
      </c>
      <c r="D48" s="187">
        <f>'вспом.пр-ва факт'!AD60</f>
        <v>0</v>
      </c>
      <c r="E48" s="187">
        <f>'вспом.пр-ва факт'!AD61</f>
        <v>0</v>
      </c>
      <c r="F48" s="187">
        <f>'вспом.пр-ва факт'!AD62</f>
        <v>0</v>
      </c>
      <c r="G48" s="187">
        <f t="shared" si="24"/>
        <v>0</v>
      </c>
      <c r="H48" s="187">
        <f>'вспом.пр-ва факт'!AD80</f>
        <v>4572.12716</v>
      </c>
      <c r="I48" s="187">
        <f>'КРС план'!H41</f>
        <v>4518.5156113478197</v>
      </c>
      <c r="J48" s="747">
        <f>H48-I48</f>
        <v>53.611548652180318</v>
      </c>
      <c r="K48" s="2325">
        <f>'вспом.пр-ва факт'!AD79</f>
        <v>2519.8399800000002</v>
      </c>
      <c r="L48" s="187">
        <f>'КРС план'!J41</f>
        <v>3252.0267967815153</v>
      </c>
      <c r="M48" s="747">
        <f>K48-L48</f>
        <v>-732.18681678151506</v>
      </c>
      <c r="N48" s="176">
        <f>H48+K48</f>
        <v>7091.9671400000007</v>
      </c>
      <c r="O48" s="749">
        <f>'КРС план'!L41</f>
        <v>14460.302190121431</v>
      </c>
      <c r="P48" s="747">
        <f t="shared" si="12"/>
        <v>-7368.33505012143</v>
      </c>
    </row>
    <row r="49" spans="1:16" s="87" customFormat="1" ht="11.25" customHeight="1">
      <c r="A49" s="107"/>
      <c r="B49" s="280" t="s">
        <v>108</v>
      </c>
      <c r="C49" s="280">
        <f t="shared" ref="C49:O49" si="26">C39+C40+C47+C48</f>
        <v>29.235370000000003</v>
      </c>
      <c r="D49" s="280">
        <f t="shared" si="26"/>
        <v>1366.4024300000001</v>
      </c>
      <c r="E49" s="280">
        <f t="shared" si="26"/>
        <v>122.68029</v>
      </c>
      <c r="F49" s="280">
        <f t="shared" si="26"/>
        <v>3572.7619199999999</v>
      </c>
      <c r="G49" s="280">
        <f t="shared" si="26"/>
        <v>5091.0800099999997</v>
      </c>
      <c r="H49" s="280">
        <f t="shared" si="26"/>
        <v>16018.401909</v>
      </c>
      <c r="I49" s="280">
        <f>I39+I40+I47+I48</f>
        <v>17965.377565847328</v>
      </c>
      <c r="J49" s="747">
        <f t="shared" si="20"/>
        <v>-12874.297555847328</v>
      </c>
      <c r="K49" s="280">
        <f>K39+K40+K47+K48</f>
        <v>10336.77722</v>
      </c>
      <c r="L49" s="280">
        <f>L39+L40+L47+L48</f>
        <v>11334.60269071312</v>
      </c>
      <c r="M49" s="747">
        <f t="shared" si="21"/>
        <v>-24208.90024656045</v>
      </c>
      <c r="N49" s="280">
        <f t="shared" si="26"/>
        <v>26355.179129</v>
      </c>
      <c r="O49" s="754">
        <f t="shared" si="26"/>
        <v>42845.07423127527</v>
      </c>
      <c r="P49" s="747">
        <f t="shared" si="12"/>
        <v>-16489.89510227527</v>
      </c>
    </row>
    <row r="50" spans="1:16" ht="11.25" customHeight="1" thickBot="1">
      <c r="A50" s="105"/>
      <c r="B50" s="186" t="s">
        <v>110</v>
      </c>
      <c r="C50" s="187">
        <f>'вспом.пр-ва факт'!AI59</f>
        <v>0</v>
      </c>
      <c r="D50" s="187">
        <f>'вспом.пр-ва факт'!AI60</f>
        <v>0</v>
      </c>
      <c r="E50" s="187">
        <f>'вспом.пр-ва факт'!AI61</f>
        <v>0</v>
      </c>
      <c r="F50" s="187">
        <f>'вспом.пр-ва факт'!AI62</f>
        <v>0</v>
      </c>
      <c r="G50" s="187">
        <f>SUM(C50:F50)</f>
        <v>0</v>
      </c>
      <c r="H50" s="187">
        <f>'вспом.пр-ва факт'!AK80</f>
        <v>1168.7535600000001</v>
      </c>
      <c r="I50" s="187">
        <f>'КРС план'!H43</f>
        <v>882.81803720793766</v>
      </c>
      <c r="J50" s="747">
        <f t="shared" ref="J50:J55" si="27">H50-I50</f>
        <v>285.93552279206244</v>
      </c>
      <c r="K50" s="2325">
        <f>'вспом.пр-ва факт'!AK79</f>
        <v>656.03988000000004</v>
      </c>
      <c r="L50" s="187">
        <f>'КРС план'!J43</f>
        <v>1427.3</v>
      </c>
      <c r="M50" s="747">
        <f t="shared" ref="M50:M55" si="28">K50-L50</f>
        <v>-771.26011999999992</v>
      </c>
      <c r="N50" s="176">
        <f>H50+K50</f>
        <v>1824.7934400000001</v>
      </c>
      <c r="O50" s="749">
        <f>'КРС план'!L43</f>
        <v>2310.1180372079375</v>
      </c>
      <c r="P50" s="747">
        <f t="shared" si="12"/>
        <v>-485.32459720793736</v>
      </c>
    </row>
    <row r="51" spans="1:16" s="87" customFormat="1" ht="11.25" customHeight="1" thickBot="1">
      <c r="A51" s="177"/>
      <c r="B51" s="283" t="s">
        <v>112</v>
      </c>
      <c r="C51" s="283">
        <f>C49+C50</f>
        <v>29.235370000000003</v>
      </c>
      <c r="D51" s="283">
        <f t="shared" ref="D51:O51" si="29">D49+D50</f>
        <v>1366.4024300000001</v>
      </c>
      <c r="E51" s="283">
        <f t="shared" si="29"/>
        <v>122.68029</v>
      </c>
      <c r="F51" s="283">
        <f t="shared" si="29"/>
        <v>3572.7619199999999</v>
      </c>
      <c r="G51" s="283">
        <f t="shared" si="29"/>
        <v>5091.0800099999997</v>
      </c>
      <c r="H51" s="2244">
        <f t="shared" si="29"/>
        <v>17187.155469000001</v>
      </c>
      <c r="I51" s="283">
        <f>I49+I50</f>
        <v>18848.195603055265</v>
      </c>
      <c r="J51" s="747">
        <f t="shared" si="27"/>
        <v>-1661.0401340552635</v>
      </c>
      <c r="K51" s="283">
        <f>K49+K50</f>
        <v>10992.8171</v>
      </c>
      <c r="L51" s="283">
        <f>L49+L50</f>
        <v>12761.902690713119</v>
      </c>
      <c r="M51" s="747">
        <f t="shared" si="28"/>
        <v>-1769.085590713119</v>
      </c>
      <c r="N51" s="283">
        <f t="shared" si="29"/>
        <v>28179.972569000001</v>
      </c>
      <c r="O51" s="755">
        <f t="shared" si="29"/>
        <v>45155.19226848321</v>
      </c>
      <c r="P51" s="747">
        <f t="shared" si="12"/>
        <v>-16975.219699483208</v>
      </c>
    </row>
    <row r="52" spans="1:16" s="87" customFormat="1" ht="11.25" customHeight="1" thickBot="1">
      <c r="A52" s="177"/>
      <c r="B52" s="284" t="s">
        <v>26</v>
      </c>
      <c r="C52" s="187">
        <f>0-'св-во Ш2,3 факт'!C57</f>
        <v>0</v>
      </c>
      <c r="D52" s="187">
        <f>0-'св-во Ш2,3 факт'!D57</f>
        <v>0</v>
      </c>
      <c r="E52" s="187">
        <f>0-'св-во Ш2,3 факт'!E57</f>
        <v>0</v>
      </c>
      <c r="F52" s="187"/>
      <c r="G52" s="187">
        <f>SUM(C52:F52)</f>
        <v>0</v>
      </c>
      <c r="H52" s="2325">
        <f>H51*10%</f>
        <v>1718.7155469000002</v>
      </c>
      <c r="I52" s="187">
        <f>'КРС план'!H45</f>
        <v>1884.8195603055265</v>
      </c>
      <c r="J52" s="747">
        <f t="shared" si="27"/>
        <v>-166.1040134055263</v>
      </c>
      <c r="K52" s="187">
        <f>0-'св-во Ш2,3 факт'!O57</f>
        <v>0</v>
      </c>
      <c r="L52" s="187">
        <f>'КРС план'!J45</f>
        <v>150</v>
      </c>
      <c r="M52" s="747">
        <f t="shared" si="28"/>
        <v>-150</v>
      </c>
      <c r="N52" s="176">
        <f>H52+K52</f>
        <v>1718.7155469000002</v>
      </c>
      <c r="O52" s="746">
        <f>'КРС план'!L45</f>
        <v>2184.8195603055265</v>
      </c>
      <c r="P52" s="747">
        <f t="shared" si="12"/>
        <v>-466.1040134055263</v>
      </c>
    </row>
    <row r="53" spans="1:16" s="87" customFormat="1" ht="11.25" customHeight="1" thickBot="1">
      <c r="A53" s="177"/>
      <c r="B53" s="283" t="s">
        <v>330</v>
      </c>
      <c r="C53" s="283">
        <f>C51-C52</f>
        <v>29.235370000000003</v>
      </c>
      <c r="D53" s="283">
        <f t="shared" ref="D53:F53" si="30">D51-D52</f>
        <v>1366.4024300000001</v>
      </c>
      <c r="E53" s="283">
        <f t="shared" si="30"/>
        <v>122.68029</v>
      </c>
      <c r="F53" s="283">
        <f t="shared" si="30"/>
        <v>3572.7619199999999</v>
      </c>
      <c r="G53" s="283">
        <f>G51-G52</f>
        <v>5091.0800099999997</v>
      </c>
      <c r="H53" s="2244">
        <f>H51-H52</f>
        <v>15468.4399221</v>
      </c>
      <c r="I53" s="283">
        <f>I51-I52</f>
        <v>16963.37604274974</v>
      </c>
      <c r="J53" s="747">
        <f t="shared" si="27"/>
        <v>-1494.9361206497397</v>
      </c>
      <c r="K53" s="2110">
        <f>K51-K52</f>
        <v>10992.8171</v>
      </c>
      <c r="L53" s="283">
        <f>L51-L52</f>
        <v>12611.902690713119</v>
      </c>
      <c r="M53" s="747">
        <f t="shared" si="28"/>
        <v>-1619.085590713119</v>
      </c>
      <c r="N53" s="283">
        <f>N51-N52</f>
        <v>26461.257022100002</v>
      </c>
      <c r="O53" s="755">
        <f>O51-O52</f>
        <v>42970.372708177681</v>
      </c>
      <c r="P53" s="747">
        <f t="shared" si="12"/>
        <v>-16509.115686077679</v>
      </c>
    </row>
    <row r="54" spans="1:16" s="87" customFormat="1" ht="11.25" customHeight="1" thickBot="1">
      <c r="A54" s="103"/>
      <c r="B54" s="284" t="s">
        <v>109</v>
      </c>
      <c r="C54" s="188"/>
      <c r="D54" s="188"/>
      <c r="E54" s="188"/>
      <c r="F54" s="188">
        <f t="shared" ref="F54:K54" si="31">F53/F8</f>
        <v>14.911360267111853</v>
      </c>
      <c r="G54" s="188" t="e">
        <f t="shared" si="31"/>
        <v>#DIV/0!</v>
      </c>
      <c r="H54" s="2326">
        <f>H53/H11</f>
        <v>22.080107231500516</v>
      </c>
      <c r="I54" s="188">
        <f>I53/I10</f>
        <v>25.033205254672119</v>
      </c>
      <c r="J54" s="757">
        <f t="shared" si="27"/>
        <v>-2.9530980231716022</v>
      </c>
      <c r="K54" s="2326">
        <f t="shared" si="31"/>
        <v>283.23454699625444</v>
      </c>
      <c r="L54" s="188">
        <f>L53/L7</f>
        <v>288.6382197007203</v>
      </c>
      <c r="M54" s="757">
        <f t="shared" si="28"/>
        <v>-5.4036727044658619</v>
      </c>
      <c r="N54" s="188"/>
      <c r="O54" s="756"/>
      <c r="P54" s="757"/>
    </row>
    <row r="55" spans="1:16" ht="11.25" customHeight="1" thickBot="1">
      <c r="A55" s="105"/>
      <c r="B55" s="186" t="s">
        <v>357</v>
      </c>
      <c r="C55" s="281" t="e">
        <f t="shared" ref="C55:K55" si="32">C53/C5*1000</f>
        <v>#DIV/0!</v>
      </c>
      <c r="D55" s="281" t="e">
        <f t="shared" si="32"/>
        <v>#DIV/0!</v>
      </c>
      <c r="E55" s="281" t="e">
        <f t="shared" si="32"/>
        <v>#DIV/0!</v>
      </c>
      <c r="F55" s="281" t="e">
        <f t="shared" si="32"/>
        <v>#DIV/0!</v>
      </c>
      <c r="G55" s="281" t="e">
        <f t="shared" si="32"/>
        <v>#DIV/0!</v>
      </c>
      <c r="H55" s="281">
        <f>H53/H5*1000</f>
        <v>363.41603049760363</v>
      </c>
      <c r="I55" s="281">
        <f>I53/I4*1000</f>
        <v>386.088469558334</v>
      </c>
      <c r="J55" s="757">
        <f t="shared" si="27"/>
        <v>-22.672439060730369</v>
      </c>
      <c r="K55" s="281">
        <f t="shared" si="32"/>
        <v>387.97265123173577</v>
      </c>
      <c r="L55" s="281">
        <f>L53/L4*1000</f>
        <v>913.57498665071489</v>
      </c>
      <c r="M55" s="757">
        <f t="shared" si="28"/>
        <v>-525.60233541897912</v>
      </c>
      <c r="N55" s="281">
        <f>N53/N5*1000</f>
        <v>373.22995038082883</v>
      </c>
      <c r="O55" s="758">
        <f>O53/N4*1000</f>
        <v>744.18525165050585</v>
      </c>
      <c r="P55" s="757"/>
    </row>
    <row r="56" spans="1:16" ht="11.25" customHeight="1" thickBot="1">
      <c r="A56" s="759"/>
      <c r="B56" s="757" t="s">
        <v>331</v>
      </c>
      <c r="C56" s="757"/>
      <c r="D56" s="757"/>
      <c r="E56" s="757"/>
      <c r="F56" s="757"/>
      <c r="G56" s="757"/>
      <c r="H56" s="757"/>
      <c r="I56" s="760"/>
      <c r="J56" s="760"/>
      <c r="K56" s="760"/>
      <c r="L56" s="760"/>
      <c r="M56" s="760"/>
      <c r="N56" s="760"/>
      <c r="O56" s="760"/>
      <c r="P56" s="760"/>
    </row>
    <row r="57" spans="1:16" s="87" customFormat="1" ht="11.25" customHeight="1">
      <c r="A57" s="761"/>
      <c r="B57" s="197" t="s">
        <v>136</v>
      </c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</row>
    <row r="58" spans="1:16" ht="11.25" customHeight="1"/>
    <row r="59" spans="1:16" s="762" customFormat="1" ht="11.25" customHeight="1">
      <c r="H59" s="85"/>
      <c r="I59" s="85"/>
      <c r="J59" s="85"/>
      <c r="K59" s="85"/>
      <c r="L59" s="85"/>
      <c r="M59" s="85"/>
      <c r="N59" s="85"/>
      <c r="O59" s="85"/>
    </row>
    <row r="60" spans="1:16" s="762" customFormat="1" ht="11.25" customHeight="1">
      <c r="H60" s="85"/>
      <c r="I60" s="85"/>
      <c r="J60" s="85"/>
      <c r="K60" s="85"/>
      <c r="L60" s="85"/>
      <c r="M60" s="85"/>
      <c r="N60" s="85"/>
      <c r="O60" s="85"/>
    </row>
    <row r="61" spans="1:16" s="762" customFormat="1" ht="11.25" customHeight="1">
      <c r="H61" s="85"/>
      <c r="I61" s="85"/>
      <c r="J61" s="85"/>
      <c r="K61" s="85"/>
      <c r="L61" s="85"/>
      <c r="M61" s="85"/>
      <c r="N61" s="85"/>
      <c r="O61" s="85"/>
    </row>
    <row r="62" spans="1:16" s="762" customFormat="1" ht="11.25" customHeight="1">
      <c r="H62" s="85"/>
      <c r="I62" s="85"/>
      <c r="J62" s="85"/>
      <c r="K62" s="85"/>
      <c r="L62" s="85"/>
      <c r="M62" s="85"/>
      <c r="N62" s="85"/>
      <c r="O62" s="85"/>
    </row>
    <row r="63" spans="1:16" s="762" customFormat="1" ht="11.25" customHeight="1">
      <c r="H63" s="85"/>
      <c r="I63" s="85"/>
      <c r="J63" s="85"/>
      <c r="K63" s="85"/>
      <c r="L63" s="85"/>
      <c r="M63" s="85"/>
      <c r="N63" s="85"/>
      <c r="O63" s="85"/>
    </row>
    <row r="64" spans="1:16" s="762" customFormat="1" ht="11.25" customHeight="1">
      <c r="H64" s="85"/>
      <c r="I64" s="85"/>
      <c r="J64" s="85"/>
      <c r="K64" s="85"/>
      <c r="L64" s="85"/>
      <c r="M64" s="85"/>
      <c r="N64" s="85"/>
      <c r="O64" s="85"/>
    </row>
    <row r="65" spans="8:15" s="762" customFormat="1" ht="11.25" customHeight="1">
      <c r="H65" s="85"/>
      <c r="I65" s="85"/>
      <c r="J65" s="85"/>
      <c r="K65" s="85"/>
      <c r="L65" s="85"/>
      <c r="M65" s="85"/>
      <c r="N65" s="85"/>
      <c r="O65" s="85"/>
    </row>
    <row r="66" spans="8:15" s="762" customFormat="1" ht="11.25" customHeight="1">
      <c r="H66" s="85"/>
      <c r="I66" s="85"/>
      <c r="J66" s="85"/>
      <c r="K66" s="85"/>
      <c r="L66" s="85"/>
      <c r="M66" s="85"/>
      <c r="N66" s="85"/>
      <c r="O66" s="85"/>
    </row>
    <row r="67" spans="8:15" s="762" customFormat="1" ht="11.25" customHeight="1">
      <c r="H67" s="85"/>
      <c r="I67" s="85"/>
      <c r="J67" s="85"/>
      <c r="K67" s="85"/>
      <c r="L67" s="85"/>
      <c r="M67" s="85"/>
      <c r="N67" s="85"/>
      <c r="O67" s="85"/>
    </row>
    <row r="68" spans="8:15" s="762" customFormat="1">
      <c r="H68" s="85"/>
      <c r="I68" s="85"/>
      <c r="J68" s="85"/>
      <c r="K68" s="85"/>
      <c r="L68" s="85"/>
      <c r="M68" s="85"/>
      <c r="N68" s="85"/>
      <c r="O68" s="85"/>
    </row>
  </sheetData>
  <mergeCells count="8">
    <mergeCell ref="P3:P13"/>
    <mergeCell ref="C14:N14"/>
    <mergeCell ref="J3:J13"/>
    <mergeCell ref="H2:J2"/>
    <mergeCell ref="M3:M13"/>
    <mergeCell ref="K2:M2"/>
    <mergeCell ref="N2:P2"/>
    <mergeCell ref="O4:O13"/>
  </mergeCells>
  <pageMargins left="0.25" right="0.25" top="0.37" bottom="0.48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2060"/>
  </sheetPr>
  <dimension ref="A1:J71"/>
  <sheetViews>
    <sheetView topLeftCell="A34" workbookViewId="0">
      <selection activeCell="B27" sqref="B27:B28"/>
    </sheetView>
  </sheetViews>
  <sheetFormatPr defaultRowHeight="11.25" outlineLevelCol="1"/>
  <cols>
    <col min="1" max="1" width="38.85546875" style="1" customWidth="1"/>
    <col min="2" max="2" width="9.140625" style="1"/>
    <col min="3" max="3" width="11.140625" style="1" customWidth="1"/>
    <col min="4" max="4" width="10.140625" style="1" customWidth="1"/>
    <col min="5" max="5" width="9.140625" style="1"/>
    <col min="6" max="7" width="0" style="1" hidden="1" customWidth="1" outlineLevel="1"/>
    <col min="8" max="8" width="9.140625" style="1" collapsed="1"/>
    <col min="9" max="9" width="10" style="2118" bestFit="1" customWidth="1"/>
    <col min="10" max="16384" width="9.140625" style="1"/>
  </cols>
  <sheetData>
    <row r="1" spans="1:10" ht="12" thickBot="1">
      <c r="A1" s="776" t="s">
        <v>660</v>
      </c>
      <c r="B1" s="776"/>
      <c r="C1" s="777"/>
      <c r="D1" s="778"/>
      <c r="E1" s="778"/>
      <c r="F1" s="778"/>
      <c r="G1" s="778"/>
      <c r="H1" s="778"/>
    </row>
    <row r="2" spans="1:10" ht="23.25" customHeight="1" thickBot="1">
      <c r="A2" s="779" t="s">
        <v>90</v>
      </c>
      <c r="B2" s="2290">
        <f>'пром.пр-во план'!B2</f>
        <v>4401.5731779419675</v>
      </c>
      <c r="C2" s="2290">
        <f>'пром.пр-во план'!C2</f>
        <v>1027.0087086389217</v>
      </c>
      <c r="D2" s="790">
        <f>реал!D5</f>
        <v>1266.9679999999998</v>
      </c>
      <c r="E2" s="2291">
        <f>реал!D98</f>
        <v>169.64999999999998</v>
      </c>
      <c r="F2" s="780"/>
      <c r="G2" s="781"/>
      <c r="H2" s="2552" t="s">
        <v>686</v>
      </c>
      <c r="I2" s="2553"/>
      <c r="J2" s="2550" t="s">
        <v>197</v>
      </c>
    </row>
    <row r="3" spans="1:10" ht="23.25" customHeight="1" thickBot="1">
      <c r="A3" s="779" t="s">
        <v>91</v>
      </c>
      <c r="B3" s="2304">
        <f>68.61173+2972.12509</f>
        <v>3040.7368200000001</v>
      </c>
      <c r="C3" s="2292"/>
      <c r="D3" s="2293">
        <f>реал!F5</f>
        <v>1186.2150502999998</v>
      </c>
      <c r="E3" s="2294">
        <f>реал!F98</f>
        <v>148.42791</v>
      </c>
      <c r="F3" s="782"/>
      <c r="G3" s="781"/>
      <c r="H3" s="2554"/>
      <c r="I3" s="2555"/>
      <c r="J3" s="2551"/>
    </row>
    <row r="4" spans="1:10" ht="23.25" customHeight="1" thickBot="1">
      <c r="A4" s="783" t="s">
        <v>17</v>
      </c>
      <c r="B4" s="851">
        <f>B3-B2</f>
        <v>-1360.8363579419674</v>
      </c>
      <c r="C4" s="851">
        <f>C3-C2</f>
        <v>-1027.0087086389217</v>
      </c>
      <c r="D4" s="851">
        <f>D3-D2</f>
        <v>-80.752949700000045</v>
      </c>
      <c r="E4" s="851">
        <f>E3-E2</f>
        <v>-21.22208999999998</v>
      </c>
      <c r="F4" s="784"/>
      <c r="G4" s="785"/>
      <c r="H4" s="2556"/>
      <c r="I4" s="2557"/>
      <c r="J4" s="2551"/>
    </row>
    <row r="5" spans="1:10" ht="34.5" thickBot="1">
      <c r="A5" s="783" t="s">
        <v>58</v>
      </c>
      <c r="B5" s="783" t="s">
        <v>92</v>
      </c>
      <c r="C5" s="1797" t="s">
        <v>93</v>
      </c>
      <c r="D5" s="1797" t="s">
        <v>94</v>
      </c>
      <c r="E5" s="908" t="s">
        <v>565</v>
      </c>
      <c r="F5" s="786"/>
      <c r="G5" s="787"/>
      <c r="H5" s="1972" t="s">
        <v>16</v>
      </c>
      <c r="I5" s="2119" t="s">
        <v>42</v>
      </c>
      <c r="J5" s="2551"/>
    </row>
    <row r="6" spans="1:10" ht="12" customHeight="1" thickBot="1">
      <c r="A6" s="788" t="s">
        <v>60</v>
      </c>
      <c r="B6" s="789">
        <f>B7+B10+B11+B14+B17+B20+B21+B24+B25</f>
        <v>10552.032529999999</v>
      </c>
      <c r="C6" s="789">
        <f t="shared" ref="C6:I6" si="0">C7+C10+C11+C14+C17+C20+C21+C24+C25</f>
        <v>0</v>
      </c>
      <c r="D6" s="789">
        <f t="shared" si="0"/>
        <v>32471.474449999998</v>
      </c>
      <c r="E6" s="789">
        <f t="shared" si="0"/>
        <v>2472.9067599999998</v>
      </c>
      <c r="F6" s="907">
        <f t="shared" si="0"/>
        <v>0</v>
      </c>
      <c r="G6" s="789">
        <f t="shared" si="0"/>
        <v>0</v>
      </c>
      <c r="H6" s="789">
        <f>H7+H10+H11+H14+H17+H20+H21+H24+H25</f>
        <v>45496.413739999996</v>
      </c>
      <c r="I6" s="2120">
        <f t="shared" si="0"/>
        <v>87641.397623578872</v>
      </c>
      <c r="J6" s="790">
        <f>H6-I6</f>
        <v>-42144.983883578876</v>
      </c>
    </row>
    <row r="7" spans="1:10" ht="12" customHeight="1">
      <c r="A7" s="791" t="s">
        <v>560</v>
      </c>
      <c r="B7" s="792"/>
      <c r="C7" s="793"/>
      <c r="D7" s="792"/>
      <c r="E7" s="909"/>
      <c r="F7" s="794"/>
      <c r="G7" s="792"/>
      <c r="H7" s="795">
        <f t="shared" ref="H7:H32" si="1">SUM(B7:G7)</f>
        <v>0</v>
      </c>
      <c r="I7" s="2121">
        <f>'пром.пр-во план'!G7</f>
        <v>0</v>
      </c>
      <c r="J7" s="796">
        <f t="shared" ref="J7:J61" si="2">H7-I7</f>
        <v>0</v>
      </c>
    </row>
    <row r="8" spans="1:10" ht="12" customHeight="1">
      <c r="A8" s="797" t="s">
        <v>97</v>
      </c>
      <c r="B8" s="798"/>
      <c r="C8" s="799"/>
      <c r="D8" s="798"/>
      <c r="E8" s="798"/>
      <c r="F8" s="794"/>
      <c r="G8" s="798"/>
      <c r="H8" s="800">
        <f t="shared" si="1"/>
        <v>0</v>
      </c>
      <c r="I8" s="2121">
        <f>'пром.пр-во план'!G8</f>
        <v>0</v>
      </c>
      <c r="J8" s="801">
        <f t="shared" si="2"/>
        <v>0</v>
      </c>
    </row>
    <row r="9" spans="1:10" ht="12" customHeight="1">
      <c r="A9" s="797" t="s">
        <v>98</v>
      </c>
      <c r="B9" s="798"/>
      <c r="C9" s="799"/>
      <c r="D9" s="798"/>
      <c r="E9" s="798"/>
      <c r="F9" s="802"/>
      <c r="G9" s="798"/>
      <c r="H9" s="803"/>
      <c r="I9" s="2122"/>
      <c r="J9" s="801"/>
    </row>
    <row r="10" spans="1:10" ht="12" customHeight="1">
      <c r="A10" s="797" t="s">
        <v>125</v>
      </c>
      <c r="B10" s="798"/>
      <c r="C10" s="799"/>
      <c r="D10" s="798"/>
      <c r="E10" s="798"/>
      <c r="F10" s="804"/>
      <c r="G10" s="798"/>
      <c r="H10" s="800">
        <f t="shared" si="1"/>
        <v>0</v>
      </c>
      <c r="I10" s="2122"/>
      <c r="J10" s="801">
        <f t="shared" si="2"/>
        <v>0</v>
      </c>
    </row>
    <row r="11" spans="1:10" ht="12" customHeight="1">
      <c r="A11" s="805" t="s">
        <v>66</v>
      </c>
      <c r="B11" s="2297">
        <v>386.00722999999999</v>
      </c>
      <c r="C11" s="801"/>
      <c r="D11" s="801"/>
      <c r="E11" s="801"/>
      <c r="F11" s="794"/>
      <c r="G11" s="801"/>
      <c r="H11" s="800">
        <f t="shared" si="1"/>
        <v>386.00722999999999</v>
      </c>
      <c r="I11" s="2123">
        <f>'пром.пр-во план'!G10</f>
        <v>221</v>
      </c>
      <c r="J11" s="801">
        <f t="shared" si="2"/>
        <v>165.00722999999999</v>
      </c>
    </row>
    <row r="12" spans="1:10" ht="12" customHeight="1">
      <c r="A12" s="806" t="s">
        <v>12</v>
      </c>
      <c r="B12" s="2297">
        <v>23.308990000000001</v>
      </c>
      <c r="C12" s="801"/>
      <c r="D12" s="801"/>
      <c r="E12" s="801"/>
      <c r="F12" s="794"/>
      <c r="G12" s="801"/>
      <c r="H12" s="800">
        <f t="shared" si="1"/>
        <v>23.308990000000001</v>
      </c>
      <c r="I12" s="2123">
        <f>'пром.пр-во план'!G11</f>
        <v>17</v>
      </c>
      <c r="J12" s="801">
        <f t="shared" si="2"/>
        <v>6.3089900000000014</v>
      </c>
    </row>
    <row r="13" spans="1:10" ht="12" customHeight="1">
      <c r="A13" s="806" t="s">
        <v>63</v>
      </c>
      <c r="B13" s="807">
        <f>B11/B12*1000</f>
        <v>16560.444274934263</v>
      </c>
      <c r="C13" s="807"/>
      <c r="D13" s="801"/>
      <c r="E13" s="801"/>
      <c r="F13" s="794"/>
      <c r="G13" s="801"/>
      <c r="H13" s="800">
        <f t="shared" si="1"/>
        <v>16560.444274934263</v>
      </c>
      <c r="I13" s="2123">
        <f>'пром.пр-во план'!G12</f>
        <v>13000</v>
      </c>
      <c r="J13" s="801">
        <f t="shared" si="2"/>
        <v>3560.4442749342634</v>
      </c>
    </row>
    <row r="14" spans="1:10" ht="12" customHeight="1">
      <c r="A14" s="805" t="s">
        <v>67</v>
      </c>
      <c r="B14" s="801"/>
      <c r="C14" s="801"/>
      <c r="D14" s="801"/>
      <c r="E14" s="801"/>
      <c r="F14" s="794"/>
      <c r="G14" s="801"/>
      <c r="H14" s="800">
        <f t="shared" si="1"/>
        <v>0</v>
      </c>
      <c r="I14" s="2123">
        <f>'пром.пр-во план'!G13</f>
        <v>0</v>
      </c>
      <c r="J14" s="801">
        <f t="shared" si="2"/>
        <v>0</v>
      </c>
    </row>
    <row r="15" spans="1:10" ht="12" customHeight="1">
      <c r="A15" s="806" t="s">
        <v>69</v>
      </c>
      <c r="B15" s="801"/>
      <c r="C15" s="801"/>
      <c r="D15" s="801"/>
      <c r="E15" s="801"/>
      <c r="F15" s="794"/>
      <c r="G15" s="801"/>
      <c r="H15" s="800">
        <f t="shared" si="1"/>
        <v>0</v>
      </c>
      <c r="I15" s="2123">
        <f>'пром.пр-во план'!G14</f>
        <v>0</v>
      </c>
      <c r="J15" s="801">
        <f t="shared" si="2"/>
        <v>0</v>
      </c>
    </row>
    <row r="16" spans="1:10" ht="12" customHeight="1">
      <c r="A16" s="806" t="s">
        <v>63</v>
      </c>
      <c r="B16" s="801"/>
      <c r="C16" s="801"/>
      <c r="D16" s="801"/>
      <c r="E16" s="801"/>
      <c r="F16" s="808"/>
      <c r="G16" s="801"/>
      <c r="H16" s="800">
        <f t="shared" si="1"/>
        <v>0</v>
      </c>
      <c r="I16" s="2123">
        <f>'пром.пр-во план'!G15</f>
        <v>0</v>
      </c>
      <c r="J16" s="801">
        <f t="shared" si="2"/>
        <v>0</v>
      </c>
    </row>
    <row r="17" spans="1:10" ht="12" customHeight="1">
      <c r="A17" s="805" t="s">
        <v>68</v>
      </c>
      <c r="B17" s="801"/>
      <c r="C17" s="801"/>
      <c r="D17" s="801"/>
      <c r="E17" s="801"/>
      <c r="F17" s="794"/>
      <c r="G17" s="801"/>
      <c r="H17" s="800">
        <f t="shared" si="1"/>
        <v>0</v>
      </c>
      <c r="I17" s="2123">
        <f>'пром.пр-во план'!G16</f>
        <v>0</v>
      </c>
      <c r="J17" s="801">
        <f t="shared" si="2"/>
        <v>0</v>
      </c>
    </row>
    <row r="18" spans="1:10" ht="12" customHeight="1">
      <c r="A18" s="806" t="s">
        <v>69</v>
      </c>
      <c r="B18" s="801"/>
      <c r="C18" s="801"/>
      <c r="D18" s="801"/>
      <c r="E18" s="801"/>
      <c r="F18" s="794"/>
      <c r="G18" s="801"/>
      <c r="H18" s="800">
        <f t="shared" si="1"/>
        <v>0</v>
      </c>
      <c r="I18" s="2123">
        <f>'пром.пр-во план'!G17</f>
        <v>0</v>
      </c>
      <c r="J18" s="801">
        <f t="shared" si="2"/>
        <v>0</v>
      </c>
    </row>
    <row r="19" spans="1:10" ht="12" customHeight="1">
      <c r="A19" s="806" t="s">
        <v>63</v>
      </c>
      <c r="B19" s="801"/>
      <c r="C19" s="801"/>
      <c r="D19" s="801"/>
      <c r="E19" s="801"/>
      <c r="F19" s="794"/>
      <c r="G19" s="801"/>
      <c r="H19" s="800">
        <f t="shared" si="1"/>
        <v>0</v>
      </c>
      <c r="I19" s="2123">
        <f>'пром.пр-во план'!G18</f>
        <v>0</v>
      </c>
      <c r="J19" s="801">
        <f t="shared" si="2"/>
        <v>0</v>
      </c>
    </row>
    <row r="20" spans="1:10" ht="12" customHeight="1">
      <c r="A20" s="809" t="s">
        <v>70</v>
      </c>
      <c r="B20" s="2297">
        <v>0.17763000000000001</v>
      </c>
      <c r="C20" s="801"/>
      <c r="D20" s="801"/>
      <c r="E20" s="801"/>
      <c r="F20" s="794"/>
      <c r="G20" s="801"/>
      <c r="H20" s="800">
        <f t="shared" si="1"/>
        <v>0.17763000000000001</v>
      </c>
      <c r="I20" s="2123">
        <f>'пром.пр-во план'!G19</f>
        <v>43</v>
      </c>
      <c r="J20" s="801">
        <f t="shared" si="2"/>
        <v>-42.822369999999999</v>
      </c>
    </row>
    <row r="21" spans="1:10" ht="12" customHeight="1">
      <c r="A21" s="805" t="s">
        <v>99</v>
      </c>
      <c r="B21" s="2297">
        <v>9272.1636099999996</v>
      </c>
      <c r="C21" s="801"/>
      <c r="D21" s="801"/>
      <c r="E21" s="801"/>
      <c r="F21" s="794"/>
      <c r="G21" s="801"/>
      <c r="H21" s="800">
        <f t="shared" si="1"/>
        <v>9272.1636099999996</v>
      </c>
      <c r="I21" s="2123">
        <f>'пром.пр-во план'!G20</f>
        <v>50558.289916986774</v>
      </c>
      <c r="J21" s="801">
        <f t="shared" si="2"/>
        <v>-41286.126306986771</v>
      </c>
    </row>
    <row r="22" spans="1:10" ht="12" customHeight="1">
      <c r="A22" s="806" t="s">
        <v>12</v>
      </c>
      <c r="B22" s="2297">
        <v>104.90300000000001</v>
      </c>
      <c r="C22" s="801"/>
      <c r="D22" s="801"/>
      <c r="E22" s="801"/>
      <c r="F22" s="794"/>
      <c r="G22" s="801"/>
      <c r="H22" s="800">
        <f t="shared" si="1"/>
        <v>104.90300000000001</v>
      </c>
      <c r="I22" s="2123">
        <f>'пром.пр-во план'!G21</f>
        <v>532.19252544196604</v>
      </c>
      <c r="J22" s="801">
        <f t="shared" si="2"/>
        <v>-427.28952544196602</v>
      </c>
    </row>
    <row r="23" spans="1:10" s="2" customFormat="1" ht="12" customHeight="1">
      <c r="A23" s="806" t="s">
        <v>63</v>
      </c>
      <c r="B23" s="810">
        <f>B21/B22*1000</f>
        <v>88387.973747175944</v>
      </c>
      <c r="C23" s="810"/>
      <c r="D23" s="807"/>
      <c r="E23" s="807"/>
      <c r="F23" s="808"/>
      <c r="G23" s="807"/>
      <c r="H23" s="811">
        <f>H21/H22*1000</f>
        <v>88387.973747175944</v>
      </c>
      <c r="I23" s="2124">
        <f>I21/I22*1000</f>
        <v>95000</v>
      </c>
      <c r="J23" s="801">
        <f t="shared" si="2"/>
        <v>-6612.0262528240564</v>
      </c>
    </row>
    <row r="24" spans="1:10" ht="12" customHeight="1">
      <c r="A24" s="805" t="s">
        <v>100</v>
      </c>
      <c r="B24" s="801"/>
      <c r="C24" s="801"/>
      <c r="D24" s="2297">
        <v>28254.609629999999</v>
      </c>
      <c r="E24" s="2297">
        <f>1195.9465+578.66765</f>
        <v>1774.6141499999999</v>
      </c>
      <c r="F24" s="794"/>
      <c r="G24" s="801"/>
      <c r="H24" s="800">
        <f t="shared" si="1"/>
        <v>30029.22378</v>
      </c>
      <c r="I24" s="2123">
        <f>'пром.пр-во план'!G23</f>
        <v>32038.985471064891</v>
      </c>
      <c r="J24" s="801">
        <f t="shared" si="2"/>
        <v>-2009.7616910648903</v>
      </c>
    </row>
    <row r="25" spans="1:10" ht="12" customHeight="1">
      <c r="A25" s="805" t="s">
        <v>71</v>
      </c>
      <c r="B25" s="2297">
        <f>173.80261+0.22+10.4387+524.53143+116.65569+68.03563</f>
        <v>893.68406000000004</v>
      </c>
      <c r="C25" s="812"/>
      <c r="D25" s="2297">
        <f>348.78085+0.315+47.66723+32+3458.68203+236.88909+91.35042+1.1802</f>
        <v>4216.8648199999998</v>
      </c>
      <c r="E25" s="2297">
        <f>0.54126+689.03957+6.99545+1.71633</f>
        <v>698.29260999999997</v>
      </c>
      <c r="F25" s="794"/>
      <c r="G25" s="800"/>
      <c r="H25" s="800">
        <f t="shared" si="1"/>
        <v>5808.8414900000007</v>
      </c>
      <c r="I25" s="2123">
        <f>'пром.пр-во план'!G24</f>
        <v>4780.1222355271984</v>
      </c>
      <c r="J25" s="801">
        <f t="shared" si="2"/>
        <v>1028.7192544728023</v>
      </c>
    </row>
    <row r="26" spans="1:10" s="3" customFormat="1" ht="12" customHeight="1">
      <c r="A26" s="813" t="s">
        <v>549</v>
      </c>
      <c r="B26" s="2297">
        <v>6765.3778400000001</v>
      </c>
      <c r="C26" s="812"/>
      <c r="D26" s="2297">
        <v>5522.8800199999996</v>
      </c>
      <c r="E26" s="2297">
        <v>64.36018</v>
      </c>
      <c r="F26" s="794"/>
      <c r="G26" s="800"/>
      <c r="H26" s="814">
        <f t="shared" si="1"/>
        <v>12352.618039999999</v>
      </c>
      <c r="I26" s="2123">
        <f>'пром.пр-во план'!G25</f>
        <v>11948.412162196501</v>
      </c>
      <c r="J26" s="801">
        <f t="shared" si="2"/>
        <v>404.20587780349888</v>
      </c>
    </row>
    <row r="27" spans="1:10" s="3" customFormat="1" ht="12" customHeight="1">
      <c r="A27" s="813" t="s">
        <v>73</v>
      </c>
      <c r="B27" s="2297">
        <v>11256.906429999999</v>
      </c>
      <c r="C27" s="2295">
        <v>1923.77145</v>
      </c>
      <c r="D27" s="2297">
        <v>16046.043250000001</v>
      </c>
      <c r="E27" s="2297">
        <v>1516.7941699999999</v>
      </c>
      <c r="F27" s="794"/>
      <c r="G27" s="800"/>
      <c r="H27" s="814">
        <f t="shared" si="1"/>
        <v>30743.515299999999</v>
      </c>
      <c r="I27" s="2123">
        <f>'пром.пр-во план'!G26</f>
        <v>30300</v>
      </c>
      <c r="J27" s="801">
        <f t="shared" si="2"/>
        <v>443.51529999999912</v>
      </c>
    </row>
    <row r="28" spans="1:10" s="3" customFormat="1" ht="12" customHeight="1">
      <c r="A28" s="813" t="s">
        <v>74</v>
      </c>
      <c r="B28" s="2298">
        <f>133.96784+3500.20024</f>
        <v>3634.1680799999999</v>
      </c>
      <c r="C28" s="2296">
        <f>22.89069+572.24881</f>
        <v>595.1395</v>
      </c>
      <c r="D28" s="2298">
        <f>191.37599+4784.39455</f>
        <v>4975.7705399999995</v>
      </c>
      <c r="E28" s="2298">
        <f>18.03213+450.80416</f>
        <v>468.83629000000002</v>
      </c>
      <c r="F28" s="816"/>
      <c r="G28" s="800"/>
      <c r="H28" s="814">
        <f t="shared" si="1"/>
        <v>9673.9144099999976</v>
      </c>
      <c r="I28" s="2123">
        <f>'пром.пр-во план'!G27</f>
        <v>9453.6</v>
      </c>
      <c r="J28" s="801">
        <f t="shared" si="2"/>
        <v>220.31440999999722</v>
      </c>
    </row>
    <row r="29" spans="1:10" s="3" customFormat="1" ht="12" customHeight="1">
      <c r="A29" s="813" t="s">
        <v>75</v>
      </c>
      <c r="B29" s="817">
        <f t="shared" ref="B29:G29" si="3">SUM(B30:B32)</f>
        <v>885.69552999999996</v>
      </c>
      <c r="C29" s="817">
        <f t="shared" si="3"/>
        <v>0</v>
      </c>
      <c r="D29" s="817">
        <f t="shared" si="3"/>
        <v>3199.4177399999999</v>
      </c>
      <c r="E29" s="817">
        <f t="shared" si="3"/>
        <v>56.112310000000001</v>
      </c>
      <c r="F29" s="818">
        <f t="shared" si="3"/>
        <v>0</v>
      </c>
      <c r="G29" s="819">
        <f t="shared" si="3"/>
        <v>0</v>
      </c>
      <c r="H29" s="814">
        <f t="shared" si="1"/>
        <v>4141.2255800000003</v>
      </c>
      <c r="I29" s="2125">
        <f>SUM(I30:I32)</f>
        <v>4143</v>
      </c>
      <c r="J29" s="801">
        <f t="shared" si="2"/>
        <v>-1.7744199999997363</v>
      </c>
    </row>
    <row r="30" spans="1:10" ht="12" customHeight="1">
      <c r="A30" s="820" t="s">
        <v>76</v>
      </c>
      <c r="B30" s="2297">
        <f>765.14231+36.91022</f>
        <v>802.05252999999993</v>
      </c>
      <c r="C30" s="800"/>
      <c r="D30" s="2297">
        <f>2771.25034+7.36713+115.44987</f>
        <v>2894.0673400000001</v>
      </c>
      <c r="E30" s="2297">
        <f>11.1+1.81231</f>
        <v>12.91231</v>
      </c>
      <c r="F30" s="794"/>
      <c r="G30" s="800"/>
      <c r="H30" s="800">
        <f t="shared" si="1"/>
        <v>3709.0321800000002</v>
      </c>
      <c r="I30" s="2123">
        <f>'пром.пр-во план'!G29</f>
        <v>4143</v>
      </c>
      <c r="J30" s="801">
        <f t="shared" si="2"/>
        <v>-433.96781999999985</v>
      </c>
    </row>
    <row r="31" spans="1:10" ht="12" customHeight="1">
      <c r="A31" s="820" t="s">
        <v>77</v>
      </c>
      <c r="B31" s="815"/>
      <c r="C31" s="815"/>
      <c r="D31" s="815"/>
      <c r="E31" s="815"/>
      <c r="F31" s="816"/>
      <c r="G31" s="801"/>
      <c r="H31" s="800">
        <f t="shared" si="1"/>
        <v>0</v>
      </c>
      <c r="I31" s="2123">
        <f>'пром.пр-во план'!G30</f>
        <v>0</v>
      </c>
      <c r="J31" s="801">
        <f t="shared" si="2"/>
        <v>0</v>
      </c>
    </row>
    <row r="32" spans="1:10" ht="24.75" customHeight="1">
      <c r="A32" s="821" t="s">
        <v>78</v>
      </c>
      <c r="B32" s="2298">
        <v>83.643000000000001</v>
      </c>
      <c r="C32" s="815"/>
      <c r="D32" s="2298">
        <f>170.12+135.2304</f>
        <v>305.35040000000004</v>
      </c>
      <c r="E32" s="2298">
        <v>43.2</v>
      </c>
      <c r="F32" s="816"/>
      <c r="G32" s="801"/>
      <c r="H32" s="800">
        <f t="shared" si="1"/>
        <v>432.19340000000005</v>
      </c>
      <c r="I32" s="2123">
        <f>'пром.пр-во план'!G31</f>
        <v>0</v>
      </c>
      <c r="J32" s="801">
        <f t="shared" si="2"/>
        <v>432.19340000000005</v>
      </c>
    </row>
    <row r="33" spans="1:10" ht="12" customHeight="1">
      <c r="A33" s="813" t="s">
        <v>79</v>
      </c>
      <c r="B33" s="819">
        <f t="shared" ref="B33:I33" si="4">SUM(B34:B39)</f>
        <v>2100.7763399999999</v>
      </c>
      <c r="C33" s="819">
        <f t="shared" si="4"/>
        <v>0</v>
      </c>
      <c r="D33" s="819">
        <f t="shared" si="4"/>
        <v>1283.8195699999999</v>
      </c>
      <c r="E33" s="819">
        <f t="shared" si="4"/>
        <v>4.6500000000000004</v>
      </c>
      <c r="F33" s="822">
        <f t="shared" si="4"/>
        <v>0</v>
      </c>
      <c r="G33" s="819">
        <f t="shared" si="4"/>
        <v>0</v>
      </c>
      <c r="H33" s="814">
        <f t="shared" si="4"/>
        <v>3389.2459100000001</v>
      </c>
      <c r="I33" s="2125">
        <f t="shared" si="4"/>
        <v>4465.4799999999996</v>
      </c>
      <c r="J33" s="801">
        <f t="shared" si="2"/>
        <v>-1076.2340899999995</v>
      </c>
    </row>
    <row r="34" spans="1:10" ht="21" customHeight="1">
      <c r="A34" s="823" t="s">
        <v>563</v>
      </c>
      <c r="B34" s="2297">
        <f>40.366+1036.08+15.6+2.8789+4.35285+8.82+938.40359+54.275</f>
        <v>2100.7763399999999</v>
      </c>
      <c r="C34" s="800"/>
      <c r="D34" s="2297">
        <f>139.49579+1.4206+99.95129+18+14.39829+18.27+959.2836+33</f>
        <v>1283.8195699999999</v>
      </c>
      <c r="E34" s="2297">
        <f>4.65</f>
        <v>4.6500000000000004</v>
      </c>
      <c r="F34" s="794"/>
      <c r="G34" s="800"/>
      <c r="H34" s="800">
        <f t="shared" ref="H34:H51" si="5">SUM(B34:G34)</f>
        <v>3389.2459100000001</v>
      </c>
      <c r="I34" s="2123">
        <f>'пром.пр-во план'!G33</f>
        <v>4465.4799999999996</v>
      </c>
      <c r="J34" s="801">
        <f t="shared" si="2"/>
        <v>-1076.2340899999995</v>
      </c>
    </row>
    <row r="35" spans="1:10" ht="12" customHeight="1">
      <c r="A35" s="824" t="s">
        <v>81</v>
      </c>
      <c r="B35" s="801"/>
      <c r="C35" s="801"/>
      <c r="D35" s="801"/>
      <c r="E35" s="801"/>
      <c r="F35" s="794"/>
      <c r="G35" s="801"/>
      <c r="H35" s="800">
        <f t="shared" si="5"/>
        <v>0</v>
      </c>
      <c r="I35" s="2123">
        <f>'пром.пр-во план'!G34</f>
        <v>0</v>
      </c>
      <c r="J35" s="801">
        <f t="shared" si="2"/>
        <v>0</v>
      </c>
    </row>
    <row r="36" spans="1:10" ht="12" customHeight="1">
      <c r="A36" s="825" t="s">
        <v>82</v>
      </c>
      <c r="B36" s="801"/>
      <c r="C36" s="801"/>
      <c r="D36" s="801"/>
      <c r="E36" s="801"/>
      <c r="F36" s="794"/>
      <c r="G36" s="801"/>
      <c r="H36" s="800">
        <f t="shared" si="5"/>
        <v>0</v>
      </c>
      <c r="I36" s="2123">
        <f>'пром.пр-во план'!G35</f>
        <v>0</v>
      </c>
      <c r="J36" s="801">
        <f t="shared" si="2"/>
        <v>0</v>
      </c>
    </row>
    <row r="37" spans="1:10" ht="12" customHeight="1">
      <c r="A37" s="825" t="s">
        <v>83</v>
      </c>
      <c r="B37" s="801"/>
      <c r="C37" s="801"/>
      <c r="D37" s="801"/>
      <c r="E37" s="801"/>
      <c r="F37" s="794"/>
      <c r="G37" s="801"/>
      <c r="H37" s="800">
        <f t="shared" si="5"/>
        <v>0</v>
      </c>
      <c r="I37" s="2123">
        <f>'пром.пр-во план'!G36</f>
        <v>0</v>
      </c>
      <c r="J37" s="801">
        <f t="shared" si="2"/>
        <v>0</v>
      </c>
    </row>
    <row r="38" spans="1:10" ht="12" customHeight="1">
      <c r="A38" s="821" t="s">
        <v>84</v>
      </c>
      <c r="B38" s="801"/>
      <c r="C38" s="801"/>
      <c r="D38" s="801"/>
      <c r="E38" s="801"/>
      <c r="F38" s="794"/>
      <c r="G38" s="801"/>
      <c r="H38" s="800">
        <f t="shared" si="5"/>
        <v>0</v>
      </c>
      <c r="I38" s="2123">
        <f>'пром.пр-во план'!G37</f>
        <v>0</v>
      </c>
      <c r="J38" s="801">
        <f t="shared" si="2"/>
        <v>0</v>
      </c>
    </row>
    <row r="39" spans="1:10" ht="12" customHeight="1" thickBot="1">
      <c r="A39" s="824" t="s">
        <v>88</v>
      </c>
      <c r="B39" s="826"/>
      <c r="C39" s="801"/>
      <c r="D39" s="801"/>
      <c r="E39" s="801"/>
      <c r="F39" s="794"/>
      <c r="G39" s="801"/>
      <c r="H39" s="800">
        <f t="shared" si="5"/>
        <v>0</v>
      </c>
      <c r="I39" s="2123">
        <f>'пром.пр-во план'!G38</f>
        <v>0</v>
      </c>
      <c r="J39" s="827">
        <f t="shared" si="2"/>
        <v>0</v>
      </c>
    </row>
    <row r="40" spans="1:10" ht="12" customHeight="1" thickBot="1">
      <c r="A40" s="828" t="s">
        <v>18</v>
      </c>
      <c r="B40" s="829">
        <f>B6+B26+B27+B28+B33+B29</f>
        <v>35194.95674999999</v>
      </c>
      <c r="C40" s="830">
        <f t="shared" ref="C40:G40" si="6">C6+C26+C27+C28+C33+C29</f>
        <v>2518.91095</v>
      </c>
      <c r="D40" s="831">
        <f t="shared" si="6"/>
        <v>63499.405569999995</v>
      </c>
      <c r="E40" s="831">
        <f t="shared" si="6"/>
        <v>4583.6597099999999</v>
      </c>
      <c r="F40" s="832">
        <f t="shared" si="6"/>
        <v>0</v>
      </c>
      <c r="G40" s="831">
        <f t="shared" si="6"/>
        <v>0</v>
      </c>
      <c r="H40" s="833">
        <f t="shared" si="5"/>
        <v>105796.93297999998</v>
      </c>
      <c r="I40" s="2126">
        <f>I6+I26+I27+I28+I33+I29</f>
        <v>147951.88978577539</v>
      </c>
      <c r="J40" s="834">
        <f t="shared" si="2"/>
        <v>-42154.956805775408</v>
      </c>
    </row>
    <row r="41" spans="1:10" ht="12" customHeight="1">
      <c r="A41" s="835" t="s">
        <v>102</v>
      </c>
      <c r="B41" s="795">
        <f t="shared" ref="B41:G41" si="7">SUM(B42:B49)</f>
        <v>361966.53970999998</v>
      </c>
      <c r="C41" s="795">
        <f t="shared" si="7"/>
        <v>162007.07547000001</v>
      </c>
      <c r="D41" s="836">
        <f t="shared" si="7"/>
        <v>128229.28378000001</v>
      </c>
      <c r="E41" s="836">
        <f t="shared" si="7"/>
        <v>27318.327459999997</v>
      </c>
      <c r="F41" s="837">
        <f t="shared" si="7"/>
        <v>0</v>
      </c>
      <c r="G41" s="836">
        <f t="shared" si="7"/>
        <v>0</v>
      </c>
      <c r="H41" s="800">
        <f t="shared" si="5"/>
        <v>679521.22641999996</v>
      </c>
      <c r="I41" s="2123">
        <f>'пром.пр-во план'!G40</f>
        <v>802257.80346273829</v>
      </c>
      <c r="J41" s="796">
        <f t="shared" si="2"/>
        <v>-122736.57704273832</v>
      </c>
    </row>
    <row r="42" spans="1:10" ht="12" customHeight="1">
      <c r="A42" s="838" t="s">
        <v>642</v>
      </c>
      <c r="B42" s="2305">
        <v>9263.5413599999993</v>
      </c>
      <c r="C42" s="801"/>
      <c r="D42" s="801"/>
      <c r="E42" s="801"/>
      <c r="F42" s="794"/>
      <c r="G42" s="801"/>
      <c r="H42" s="800">
        <f t="shared" si="5"/>
        <v>9263.5413599999993</v>
      </c>
      <c r="I42" s="2123">
        <f>'пром.пр-во план'!G41</f>
        <v>10134.618401963053</v>
      </c>
      <c r="J42" s="801">
        <f t="shared" si="2"/>
        <v>-871.07704196305349</v>
      </c>
    </row>
    <row r="43" spans="1:10" ht="12" customHeight="1">
      <c r="A43" s="838" t="s">
        <v>478</v>
      </c>
      <c r="B43" s="2305">
        <v>352702.99835000001</v>
      </c>
      <c r="C43" s="815"/>
      <c r="D43" s="815"/>
      <c r="E43" s="815"/>
      <c r="F43" s="794"/>
      <c r="G43" s="801"/>
      <c r="H43" s="800">
        <f t="shared" si="5"/>
        <v>352702.99835000001</v>
      </c>
      <c r="I43" s="2123">
        <f>'пром.пр-во план'!G42</f>
        <v>358777.37522319978</v>
      </c>
      <c r="J43" s="801">
        <f t="shared" si="2"/>
        <v>-6074.3768731997698</v>
      </c>
    </row>
    <row r="44" spans="1:10" ht="12" customHeight="1">
      <c r="A44" s="839" t="s">
        <v>104</v>
      </c>
      <c r="B44" s="800"/>
      <c r="C44" s="2114">
        <f>34109.05328+121144.49916+6753.52303</f>
        <v>162007.07547000001</v>
      </c>
      <c r="D44" s="815"/>
      <c r="E44" s="815"/>
      <c r="F44" s="794"/>
      <c r="G44" s="801"/>
      <c r="H44" s="800">
        <f t="shared" si="5"/>
        <v>162007.07547000001</v>
      </c>
      <c r="I44" s="2123">
        <f>'пром.пр-во план'!G43</f>
        <v>216316.15842421449</v>
      </c>
      <c r="J44" s="801">
        <f t="shared" si="2"/>
        <v>-54309.082954214478</v>
      </c>
    </row>
    <row r="45" spans="1:10" ht="12" customHeight="1">
      <c r="A45" s="839" t="s">
        <v>464</v>
      </c>
      <c r="B45" s="800"/>
      <c r="C45" s="801"/>
      <c r="D45" s="2114">
        <f>38084.7213+75624.53107+6358.46352+2284.80067+812.34149+4.39625+5060.02948</f>
        <v>128229.28378000001</v>
      </c>
      <c r="E45" s="2114">
        <f>1584.65343+25733.67403</f>
        <v>27318.327459999997</v>
      </c>
      <c r="F45" s="794"/>
      <c r="G45" s="801"/>
      <c r="H45" s="800">
        <f t="shared" si="5"/>
        <v>155547.61124</v>
      </c>
      <c r="I45" s="2123">
        <f>'пром.пр-во план'!G44</f>
        <v>217029.65141336096</v>
      </c>
      <c r="J45" s="801">
        <f t="shared" si="2"/>
        <v>-61482.040173360961</v>
      </c>
    </row>
    <row r="46" spans="1:10" ht="12" customHeight="1">
      <c r="A46" s="839" t="s">
        <v>463</v>
      </c>
      <c r="B46" s="800"/>
      <c r="C46" s="801"/>
      <c r="D46" s="801"/>
      <c r="E46" s="801"/>
      <c r="F46" s="794"/>
      <c r="G46" s="801"/>
      <c r="H46" s="800">
        <f t="shared" si="5"/>
        <v>0</v>
      </c>
      <c r="I46" s="2123">
        <f>'пром.пр-во план'!G45</f>
        <v>0</v>
      </c>
      <c r="J46" s="801">
        <f t="shared" si="2"/>
        <v>0</v>
      </c>
    </row>
    <row r="47" spans="1:10" ht="12" customHeight="1">
      <c r="A47" s="839" t="s">
        <v>465</v>
      </c>
      <c r="B47" s="800"/>
      <c r="C47" s="801"/>
      <c r="D47" s="801"/>
      <c r="E47" s="801"/>
      <c r="F47" s="794"/>
      <c r="G47" s="801"/>
      <c r="H47" s="800">
        <f t="shared" si="5"/>
        <v>0</v>
      </c>
      <c r="I47" s="2123">
        <f>'пром.пр-во план'!G46</f>
        <v>0</v>
      </c>
      <c r="J47" s="801">
        <f t="shared" si="2"/>
        <v>0</v>
      </c>
    </row>
    <row r="48" spans="1:10" ht="12" customHeight="1">
      <c r="A48" s="838" t="s">
        <v>337</v>
      </c>
      <c r="B48" s="800"/>
      <c r="C48" s="801"/>
      <c r="D48" s="801"/>
      <c r="E48" s="801"/>
      <c r="F48" s="794"/>
      <c r="G48" s="801"/>
      <c r="H48" s="800">
        <f t="shared" si="5"/>
        <v>0</v>
      </c>
      <c r="I48" s="2123">
        <f>'пром.пр-во план'!G47</f>
        <v>0</v>
      </c>
      <c r="J48" s="801">
        <f t="shared" si="2"/>
        <v>0</v>
      </c>
    </row>
    <row r="49" spans="1:10" ht="12" customHeight="1">
      <c r="A49" s="838" t="s">
        <v>106</v>
      </c>
      <c r="B49" s="800"/>
      <c r="C49" s="801"/>
      <c r="D49" s="801"/>
      <c r="E49" s="801"/>
      <c r="F49" s="794"/>
      <c r="G49" s="801"/>
      <c r="H49" s="800">
        <f t="shared" si="5"/>
        <v>0</v>
      </c>
      <c r="I49" s="2123">
        <f>'пром.пр-во план'!G48</f>
        <v>0</v>
      </c>
      <c r="J49" s="801">
        <f t="shared" si="2"/>
        <v>0</v>
      </c>
    </row>
    <row r="50" spans="1:10" ht="12" customHeight="1">
      <c r="A50" s="825" t="s">
        <v>89</v>
      </c>
      <c r="B50" s="2295">
        <f>'вспом.пр-ва факт'!AC83</f>
        <v>15896.270829999999</v>
      </c>
      <c r="C50" s="2295">
        <f>'вспом.пр-ва факт'!AC84</f>
        <v>53.075000000000003</v>
      </c>
      <c r="D50" s="2297">
        <f>'вспом.пр-ва факт'!AC85</f>
        <v>12689.817909999998</v>
      </c>
      <c r="E50" s="2297">
        <f>'вспом.пр-ва факт'!AC86</f>
        <v>126.15593999999999</v>
      </c>
      <c r="F50" s="794">
        <f>'вспом.пр-ва факт'!AC88</f>
        <v>0</v>
      </c>
      <c r="G50" s="800">
        <f>'вспом.пр-ва факт'!AC89</f>
        <v>0</v>
      </c>
      <c r="H50" s="800">
        <f t="shared" si="5"/>
        <v>28765.319679999997</v>
      </c>
      <c r="I50" s="2123">
        <f>'пром.пр-во план'!G49</f>
        <v>33776.866504173755</v>
      </c>
      <c r="J50" s="801">
        <f t="shared" si="2"/>
        <v>-5011.5468241737581</v>
      </c>
    </row>
    <row r="51" spans="1:10" ht="12" customHeight="1" thickBot="1">
      <c r="A51" s="824" t="s">
        <v>107</v>
      </c>
      <c r="B51" s="840"/>
      <c r="C51" s="826"/>
      <c r="D51" s="826"/>
      <c r="E51" s="826"/>
      <c r="F51" s="841"/>
      <c r="G51" s="826"/>
      <c r="H51" s="842">
        <f t="shared" si="5"/>
        <v>0</v>
      </c>
      <c r="I51" s="2123">
        <f>'пром.пр-во план'!G50</f>
        <v>0</v>
      </c>
      <c r="J51" s="827">
        <f t="shared" si="2"/>
        <v>0</v>
      </c>
    </row>
    <row r="52" spans="1:10" ht="12" customHeight="1">
      <c r="A52" s="843" t="s">
        <v>108</v>
      </c>
      <c r="B52" s="844">
        <f t="shared" ref="B52:G52" si="8">B40+B41+B50+B51</f>
        <v>413057.76728999999</v>
      </c>
      <c r="C52" s="844">
        <f t="shared" si="8"/>
        <v>164579.06142000001</v>
      </c>
      <c r="D52" s="845">
        <f t="shared" si="8"/>
        <v>204418.50725999998</v>
      </c>
      <c r="E52" s="845">
        <f t="shared" si="8"/>
        <v>32028.143109999997</v>
      </c>
      <c r="F52" s="846">
        <f t="shared" si="8"/>
        <v>0</v>
      </c>
      <c r="G52" s="845">
        <f t="shared" si="8"/>
        <v>0</v>
      </c>
      <c r="H52" s="847">
        <f>SUM(H41:H51)</f>
        <v>1387807.7725199999</v>
      </c>
      <c r="I52" s="2127">
        <f>SUM(I41:I51)</f>
        <v>1638292.4734296501</v>
      </c>
      <c r="J52" s="836">
        <f t="shared" si="2"/>
        <v>-250484.70090965019</v>
      </c>
    </row>
    <row r="53" spans="1:10" ht="12" customHeight="1" thickBot="1">
      <c r="A53" s="849" t="s">
        <v>109</v>
      </c>
      <c r="B53" s="840"/>
      <c r="C53" s="826"/>
      <c r="D53" s="826"/>
      <c r="E53" s="826"/>
      <c r="F53" s="841"/>
      <c r="G53" s="826"/>
      <c r="H53" s="840"/>
      <c r="I53" s="2128"/>
      <c r="J53" s="826">
        <f t="shared" si="2"/>
        <v>0</v>
      </c>
    </row>
    <row r="54" spans="1:10" ht="12" customHeight="1">
      <c r="A54" s="838" t="s">
        <v>110</v>
      </c>
      <c r="B54" s="800">
        <f>'вспом.пр-ва факт'!AK83</f>
        <v>9679.0032499999998</v>
      </c>
      <c r="C54" s="2295">
        <f>'вспом.пр-ва факт'!AK84</f>
        <v>597.20722000000001</v>
      </c>
      <c r="D54" s="2297">
        <f>'вспом.пр-ва факт'!AK85</f>
        <v>10286.230740000001</v>
      </c>
      <c r="E54" s="2297">
        <f>'вспом.пр-ва факт'!AK86</f>
        <v>1647.1550299999999</v>
      </c>
      <c r="F54" s="794"/>
      <c r="G54" s="800"/>
      <c r="H54" s="850">
        <f>SUM(B54:G54)</f>
        <v>22209.596239999999</v>
      </c>
      <c r="I54" s="2123">
        <f>'пром.пр-во план'!G53</f>
        <v>13740.986345831447</v>
      </c>
      <c r="J54" s="836">
        <f t="shared" si="2"/>
        <v>8468.6098941685523</v>
      </c>
    </row>
    <row r="55" spans="1:10" ht="12" customHeight="1" thickBot="1">
      <c r="A55" s="825" t="s">
        <v>111</v>
      </c>
      <c r="B55" s="840"/>
      <c r="C55" s="826"/>
      <c r="D55" s="826"/>
      <c r="E55" s="826"/>
      <c r="F55" s="841"/>
      <c r="G55" s="851"/>
      <c r="H55" s="852">
        <f>SUM(B55:G55)</f>
        <v>0</v>
      </c>
      <c r="I55" s="2129"/>
      <c r="J55" s="851">
        <f t="shared" si="2"/>
        <v>0</v>
      </c>
    </row>
    <row r="56" spans="1:10" ht="12" customHeight="1" thickBot="1">
      <c r="A56" s="853" t="s">
        <v>53</v>
      </c>
      <c r="B56" s="854"/>
      <c r="C56" s="855"/>
      <c r="D56" s="855"/>
      <c r="E56" s="855"/>
      <c r="F56" s="856"/>
      <c r="G56" s="855"/>
      <c r="H56" s="857">
        <f>SUM(B56:G56)</f>
        <v>0</v>
      </c>
      <c r="I56" s="2130"/>
      <c r="J56" s="851">
        <f t="shared" si="2"/>
        <v>0</v>
      </c>
    </row>
    <row r="57" spans="1:10" ht="12" customHeight="1">
      <c r="A57" s="843" t="s">
        <v>112</v>
      </c>
      <c r="B57" s="2306">
        <f t="shared" ref="B57:H57" si="9">B52+B54+B55</f>
        <v>422736.77054</v>
      </c>
      <c r="C57" s="2113">
        <f t="shared" si="9"/>
        <v>165176.26864000002</v>
      </c>
      <c r="D57" s="2116">
        <f t="shared" si="9"/>
        <v>214704.73799999998</v>
      </c>
      <c r="E57" s="2116">
        <f t="shared" si="9"/>
        <v>33675.298139999999</v>
      </c>
      <c r="F57" s="858">
        <f t="shared" si="9"/>
        <v>0</v>
      </c>
      <c r="G57" s="848">
        <f t="shared" si="9"/>
        <v>0</v>
      </c>
      <c r="H57" s="847">
        <f t="shared" si="9"/>
        <v>1410017.36876</v>
      </c>
      <c r="I57" s="2127">
        <f>I52+I54+I55</f>
        <v>1652033.4597754816</v>
      </c>
      <c r="J57" s="836">
        <f t="shared" si="2"/>
        <v>-242016.09101548162</v>
      </c>
    </row>
    <row r="58" spans="1:10" s="865" customFormat="1" ht="12" customHeight="1" thickBot="1">
      <c r="A58" s="859" t="s">
        <v>109</v>
      </c>
      <c r="B58" s="860">
        <f>B63/B3</f>
        <v>16.936048815957701</v>
      </c>
      <c r="C58" s="861" t="e">
        <f>C63/C3</f>
        <v>#DIV/0!</v>
      </c>
      <c r="D58" s="861">
        <f>D57/D3</f>
        <v>180.99984311082554</v>
      </c>
      <c r="E58" s="861">
        <f>E57/E3</f>
        <v>226.87982428641621</v>
      </c>
      <c r="F58" s="862"/>
      <c r="G58" s="861"/>
      <c r="H58" s="863">
        <f>F58</f>
        <v>0</v>
      </c>
      <c r="I58" s="2123">
        <f>'пром.пр-во план'!G57</f>
        <v>0</v>
      </c>
      <c r="J58" s="864">
        <f t="shared" si="2"/>
        <v>0</v>
      </c>
    </row>
    <row r="59" spans="1:10" ht="12" customHeight="1" thickBot="1">
      <c r="A59" s="866" t="s">
        <v>113</v>
      </c>
      <c r="B59" s="857"/>
      <c r="C59" s="867"/>
      <c r="D59" s="2117">
        <f>'вспом.пр-ва факт'!AM85</f>
        <v>43262.306279999997</v>
      </c>
      <c r="E59" s="2117">
        <f>'вспом.пр-ва факт'!AM86</f>
        <v>4791.2011400000001</v>
      </c>
      <c r="F59" s="868"/>
      <c r="G59" s="867"/>
      <c r="H59" s="869">
        <f>SUM(B59:G59)</f>
        <v>48053.507419999994</v>
      </c>
      <c r="I59" s="2130">
        <f>'пром.пр-во план'!D58+'пром.пр-во план'!E58</f>
        <v>56773.107990738834</v>
      </c>
      <c r="J59" s="790">
        <f t="shared" si="2"/>
        <v>-8719.6005707388395</v>
      </c>
    </row>
    <row r="60" spans="1:10" ht="12" customHeight="1">
      <c r="A60" s="870" t="s">
        <v>114</v>
      </c>
      <c r="B60" s="848">
        <f t="shared" ref="B60:I60" si="10">B57+B59</f>
        <v>422736.77054</v>
      </c>
      <c r="C60" s="848">
        <f t="shared" si="10"/>
        <v>165176.26864000002</v>
      </c>
      <c r="D60" s="848">
        <f t="shared" si="10"/>
        <v>257967.04427999997</v>
      </c>
      <c r="E60" s="848">
        <f t="shared" si="10"/>
        <v>38466.499279999996</v>
      </c>
      <c r="F60" s="858">
        <f t="shared" si="10"/>
        <v>0</v>
      </c>
      <c r="G60" s="848">
        <f t="shared" si="10"/>
        <v>0</v>
      </c>
      <c r="H60" s="844">
        <f t="shared" si="10"/>
        <v>1458070.8761799999</v>
      </c>
      <c r="I60" s="2127">
        <f t="shared" si="10"/>
        <v>1708806.5677662205</v>
      </c>
      <c r="J60" s="796">
        <f t="shared" si="2"/>
        <v>-250735.69158622064</v>
      </c>
    </row>
    <row r="61" spans="1:10" s="874" customFormat="1" ht="12" customHeight="1" thickBot="1">
      <c r="A61" s="871" t="s">
        <v>109</v>
      </c>
      <c r="B61" s="872"/>
      <c r="C61" s="873"/>
      <c r="D61" s="861">
        <f>D60/D3</f>
        <v>217.47072271150057</v>
      </c>
      <c r="E61" s="861">
        <f>E60/E3</f>
        <v>259.15947533048194</v>
      </c>
      <c r="F61" s="862"/>
      <c r="G61" s="873"/>
      <c r="H61" s="860">
        <f>D61</f>
        <v>217.47072271150057</v>
      </c>
      <c r="I61" s="2123">
        <f>'пром.пр-во план'!G60</f>
        <v>253.41934749796175</v>
      </c>
      <c r="J61" s="826">
        <f t="shared" si="2"/>
        <v>-35.948624786461181</v>
      </c>
    </row>
    <row r="62" spans="1:10" ht="12" customHeight="1"/>
    <row r="63" spans="1:10" ht="12" customHeight="1">
      <c r="B63" s="912">
        <f>B60-B43-B42-B21</f>
        <v>51498.067219999983</v>
      </c>
      <c r="C63" s="912">
        <f>C60-C44</f>
        <v>3169.1931700000132</v>
      </c>
      <c r="D63" s="875">
        <f>D60-D45-D24-D59-D54-D50-D28-D27</f>
        <v>14222.982149999962</v>
      </c>
      <c r="E63" s="876">
        <f>E57-E47-E46-E45-E44-E10-E7</f>
        <v>6356.9706800000022</v>
      </c>
      <c r="F63" s="876"/>
      <c r="H63" s="875"/>
    </row>
    <row r="64" spans="1:10">
      <c r="E64" s="874">
        <f>E63/E3</f>
        <v>42.8286747418326</v>
      </c>
      <c r="F64" s="874"/>
    </row>
    <row r="65" spans="3:6">
      <c r="D65" s="877"/>
      <c r="E65" s="877"/>
    </row>
    <row r="66" spans="3:6">
      <c r="C66" s="1" t="s">
        <v>24</v>
      </c>
      <c r="D66" s="875">
        <f>D6-D24+D26+D27+D28+D29+D33+D41-D45+D50+D54</f>
        <v>58220.844589999993</v>
      </c>
      <c r="E66" s="875"/>
    </row>
    <row r="67" spans="3:6">
      <c r="C67" s="1" t="s">
        <v>479</v>
      </c>
      <c r="D67" s="875">
        <f>D27+D28</f>
        <v>21021.81379</v>
      </c>
      <c r="E67" s="875"/>
      <c r="F67" s="1806">
        <f>D67/D3</f>
        <v>17.721756088563769</v>
      </c>
    </row>
    <row r="68" spans="3:6">
      <c r="C68" s="1" t="s">
        <v>480</v>
      </c>
      <c r="D68" s="875">
        <f>D50</f>
        <v>12689.817909999998</v>
      </c>
      <c r="E68" s="875"/>
      <c r="F68" s="1806">
        <f>D68/D3</f>
        <v>10.697738076068651</v>
      </c>
    </row>
    <row r="69" spans="3:6">
      <c r="C69" s="1" t="s">
        <v>481</v>
      </c>
      <c r="D69" s="875">
        <f>D54</f>
        <v>10286.230740000001</v>
      </c>
      <c r="E69" s="875"/>
      <c r="F69" s="1806">
        <f>D69/D3</f>
        <v>8.6714721225283409</v>
      </c>
    </row>
    <row r="70" spans="3:6">
      <c r="C70" s="1" t="s">
        <v>482</v>
      </c>
      <c r="D70" s="875">
        <f>D66-D67-D68-D69</f>
        <v>14222.982149999994</v>
      </c>
      <c r="E70" s="875"/>
      <c r="F70" s="1806">
        <f>D70/D3</f>
        <v>11.990222301093659</v>
      </c>
    </row>
    <row r="71" spans="3:6">
      <c r="D71" s="1806">
        <f>D66/D3</f>
        <v>49.08118858825442</v>
      </c>
      <c r="E71" s="1806"/>
      <c r="F71" s="1806"/>
    </row>
  </sheetData>
  <mergeCells count="2">
    <mergeCell ref="J2:J5"/>
    <mergeCell ref="H2:I4"/>
  </mergeCells>
  <pageMargins left="0.23622047244094491" right="0.27559055118110237" top="0.74803149606299213" bottom="0.74803149606299213" header="0.31496062992125984" footer="0.31496062992125984"/>
  <pageSetup paperSize="9" scale="80" orientation="portrait" r:id="rId1"/>
  <headerFooter>
    <oddHeader>&amp;Cпромышленное производство факт 1 квартал 2013 год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AP1456"/>
  <sheetViews>
    <sheetView workbookViewId="0">
      <pane xSplit="1" ySplit="4" topLeftCell="B62" activePane="bottomRight" state="frozen"/>
      <selection pane="topRight" activeCell="B1" sqref="B1"/>
      <selection pane="bottomLeft" activeCell="A5" sqref="A5"/>
      <selection pane="bottomRight" activeCell="N83" sqref="N83"/>
    </sheetView>
  </sheetViews>
  <sheetFormatPr defaultRowHeight="9.75" outlineLevelRow="1" outlineLevelCol="1"/>
  <cols>
    <col min="1" max="1" width="25.85546875" style="2060" customWidth="1"/>
    <col min="2" max="2" width="6" style="1037" customWidth="1"/>
    <col min="3" max="3" width="5.140625" style="1037" hidden="1" customWidth="1" outlineLevel="1"/>
    <col min="4" max="7" width="4.85546875" style="1037" hidden="1" customWidth="1" outlineLevel="1"/>
    <col min="8" max="8" width="5.5703125" style="1018" hidden="1" customWidth="1" outlineLevel="1"/>
    <col min="9" max="9" width="7" style="1037" customWidth="1" collapsed="1"/>
    <col min="10" max="10" width="6.5703125" style="1037" customWidth="1"/>
    <col min="11" max="11" width="6" style="1037" customWidth="1"/>
    <col min="12" max="12" width="6.140625" style="1037" bestFit="1" customWidth="1"/>
    <col min="13" max="13" width="6.28515625" style="1037" customWidth="1"/>
    <col min="14" max="15" width="6.85546875" style="1037" customWidth="1"/>
    <col min="16" max="16" width="6.28515625" style="1037" customWidth="1"/>
    <col min="17" max="17" width="6.7109375" style="1037" customWidth="1"/>
    <col min="18" max="20" width="6.85546875" style="1037" customWidth="1"/>
    <col min="21" max="21" width="6.28515625" style="1037" customWidth="1"/>
    <col min="22" max="24" width="6.85546875" style="1037" customWidth="1"/>
    <col min="25" max="25" width="6.28515625" style="1037" customWidth="1"/>
    <col min="26" max="26" width="7" style="1037" customWidth="1"/>
    <col min="27" max="27" width="6.28515625" style="1037" customWidth="1"/>
    <col min="28" max="28" width="6.5703125" style="1037" customWidth="1"/>
    <col min="29" max="29" width="7.42578125" style="1037" customWidth="1"/>
    <col min="30" max="32" width="7.140625" style="1037" customWidth="1"/>
    <col min="33" max="33" width="6.42578125" style="1037" customWidth="1"/>
    <col min="34" max="34" width="6.28515625" style="1037" customWidth="1"/>
    <col min="35" max="35" width="6.140625" style="1037" customWidth="1"/>
    <col min="36" max="36" width="8.140625" style="1037" customWidth="1"/>
    <col min="37" max="37" width="6.5703125" style="1037" customWidth="1"/>
    <col min="38" max="38" width="5.7109375" style="1037" customWidth="1"/>
    <col min="39" max="39" width="6.42578125" style="1037" customWidth="1"/>
    <col min="40" max="41" width="7.28515625" style="1037" customWidth="1"/>
    <col min="42" max="42" width="6.5703125" style="1037" customWidth="1"/>
    <col min="43" max="16384" width="9.140625" style="219"/>
  </cols>
  <sheetData>
    <row r="1" spans="1:42" ht="10.5" customHeight="1" thickBot="1">
      <c r="A1" s="2569" t="s">
        <v>661</v>
      </c>
      <c r="B1" s="2569"/>
      <c r="C1" s="2569"/>
      <c r="D1" s="2569"/>
      <c r="E1" s="2569"/>
      <c r="F1" s="2569"/>
      <c r="G1" s="2569"/>
      <c r="H1" s="2569"/>
      <c r="I1" s="2569"/>
      <c r="J1" s="2558" t="s">
        <v>632</v>
      </c>
      <c r="K1" s="2558"/>
      <c r="L1" s="2558"/>
      <c r="M1" s="1387">
        <v>0.31359999999999999</v>
      </c>
    </row>
    <row r="2" spans="1:42" s="221" customFormat="1" ht="9.75" customHeight="1" thickBot="1">
      <c r="A2" s="2570" t="s">
        <v>58</v>
      </c>
      <c r="B2" s="2572" t="s">
        <v>362</v>
      </c>
      <c r="C2" s="2574" t="s">
        <v>363</v>
      </c>
      <c r="D2" s="2575"/>
      <c r="E2" s="2575"/>
      <c r="F2" s="2575"/>
      <c r="G2" s="2575"/>
      <c r="H2" s="2576"/>
      <c r="I2" s="2572" t="s">
        <v>364</v>
      </c>
      <c r="J2" s="2583" t="s">
        <v>365</v>
      </c>
      <c r="K2" s="2584"/>
      <c r="L2" s="2584"/>
      <c r="M2" s="2585"/>
      <c r="N2" s="2561" t="s">
        <v>366</v>
      </c>
      <c r="O2" s="2562"/>
      <c r="P2" s="2562"/>
      <c r="Q2" s="2563"/>
      <c r="R2" s="2564" t="s">
        <v>367</v>
      </c>
      <c r="S2" s="2565"/>
      <c r="T2" s="2565"/>
      <c r="U2" s="2566"/>
      <c r="V2" s="2564" t="s">
        <v>368</v>
      </c>
      <c r="W2" s="2565"/>
      <c r="X2" s="2565"/>
      <c r="Y2" s="2566"/>
      <c r="Z2" s="2580" t="s">
        <v>609</v>
      </c>
      <c r="AA2" s="2572" t="s">
        <v>610</v>
      </c>
      <c r="AB2" s="2572" t="s">
        <v>602</v>
      </c>
      <c r="AC2" s="2559" t="s">
        <v>369</v>
      </c>
      <c r="AD2" s="2567" t="s">
        <v>370</v>
      </c>
      <c r="AE2" s="2568"/>
      <c r="AF2" s="2568"/>
      <c r="AG2" s="2590" t="s">
        <v>371</v>
      </c>
      <c r="AH2" s="2592" t="s">
        <v>472</v>
      </c>
      <c r="AI2" s="2593"/>
      <c r="AJ2" s="2594"/>
      <c r="AK2" s="2559" t="s">
        <v>473</v>
      </c>
      <c r="AL2" s="2559" t="s">
        <v>372</v>
      </c>
      <c r="AM2" s="2559" t="s">
        <v>373</v>
      </c>
      <c r="AN2" s="2595" t="s">
        <v>374</v>
      </c>
      <c r="AO2" s="2586" t="s">
        <v>541</v>
      </c>
      <c r="AP2" s="2588" t="s">
        <v>542</v>
      </c>
    </row>
    <row r="3" spans="1:42" s="221" customFormat="1" ht="36.75" thickBot="1">
      <c r="A3" s="2571"/>
      <c r="B3" s="2573"/>
      <c r="C3" s="1975" t="s">
        <v>442</v>
      </c>
      <c r="D3" s="1975" t="s">
        <v>443</v>
      </c>
      <c r="E3" s="1975" t="s">
        <v>444</v>
      </c>
      <c r="F3" s="1975" t="s">
        <v>445</v>
      </c>
      <c r="G3" s="1975" t="s">
        <v>446</v>
      </c>
      <c r="H3" s="1976" t="s">
        <v>447</v>
      </c>
      <c r="I3" s="2573"/>
      <c r="J3" s="1977" t="s">
        <v>375</v>
      </c>
      <c r="K3" s="1977" t="s">
        <v>59</v>
      </c>
      <c r="L3" s="1977" t="s">
        <v>376</v>
      </c>
      <c r="M3" s="1978" t="s">
        <v>377</v>
      </c>
      <c r="N3" s="1979" t="s">
        <v>425</v>
      </c>
      <c r="O3" s="1980" t="s">
        <v>421</v>
      </c>
      <c r="P3" s="1980" t="s">
        <v>426</v>
      </c>
      <c r="Q3" s="1981" t="s">
        <v>427</v>
      </c>
      <c r="R3" s="1982" t="s">
        <v>425</v>
      </c>
      <c r="S3" s="1980" t="s">
        <v>421</v>
      </c>
      <c r="T3" s="1983" t="s">
        <v>426</v>
      </c>
      <c r="U3" s="1984" t="s">
        <v>428</v>
      </c>
      <c r="V3" s="1982" t="s">
        <v>425</v>
      </c>
      <c r="W3" s="1980" t="s">
        <v>421</v>
      </c>
      <c r="X3" s="1983" t="s">
        <v>426</v>
      </c>
      <c r="Y3" s="1984" t="s">
        <v>608</v>
      </c>
      <c r="Z3" s="2581"/>
      <c r="AA3" s="2573"/>
      <c r="AB3" s="2573"/>
      <c r="AC3" s="2560"/>
      <c r="AD3" s="1985" t="s">
        <v>650</v>
      </c>
      <c r="AE3" s="1986" t="s">
        <v>425</v>
      </c>
      <c r="AF3" s="1987" t="s">
        <v>421</v>
      </c>
      <c r="AG3" s="2591"/>
      <c r="AH3" s="1988" t="s">
        <v>485</v>
      </c>
      <c r="AI3" s="1988" t="s">
        <v>458</v>
      </c>
      <c r="AJ3" s="1988" t="s">
        <v>471</v>
      </c>
      <c r="AK3" s="2560"/>
      <c r="AL3" s="2560"/>
      <c r="AM3" s="2560"/>
      <c r="AN3" s="2596"/>
      <c r="AO3" s="2587"/>
      <c r="AP3" s="2589"/>
    </row>
    <row r="4" spans="1:42" ht="10.5" thickBot="1">
      <c r="A4" s="1989"/>
      <c r="B4" s="2582" t="s">
        <v>378</v>
      </c>
      <c r="C4" s="2578"/>
      <c r="D4" s="2578"/>
      <c r="E4" s="2578"/>
      <c r="F4" s="2578"/>
      <c r="G4" s="2578"/>
      <c r="H4" s="2578"/>
      <c r="I4" s="2578"/>
      <c r="J4" s="2578"/>
      <c r="K4" s="2578"/>
      <c r="L4" s="2578"/>
      <c r="M4" s="2578"/>
      <c r="N4" s="2578"/>
      <c r="O4" s="2578"/>
      <c r="P4" s="2578"/>
      <c r="Q4" s="2578"/>
      <c r="R4" s="2578"/>
      <c r="S4" s="2578"/>
      <c r="T4" s="2578"/>
      <c r="U4" s="2578"/>
      <c r="V4" s="2578"/>
      <c r="W4" s="2578"/>
      <c r="X4" s="2578"/>
      <c r="Y4" s="2578"/>
      <c r="Z4" s="2578"/>
      <c r="AA4" s="2578"/>
      <c r="AB4" s="2579"/>
      <c r="AC4" s="1990"/>
      <c r="AD4" s="2577" t="s">
        <v>379</v>
      </c>
      <c r="AE4" s="2578"/>
      <c r="AF4" s="2578"/>
      <c r="AG4" s="2579"/>
      <c r="AH4" s="2577" t="s">
        <v>380</v>
      </c>
      <c r="AI4" s="2578"/>
      <c r="AJ4" s="2578"/>
      <c r="AK4" s="2579"/>
      <c r="AL4" s="1990"/>
      <c r="AM4" s="1991"/>
      <c r="AN4" s="1992"/>
      <c r="AO4" s="1993"/>
      <c r="AP4" s="1994"/>
    </row>
    <row r="5" spans="1:42" s="226" customFormat="1" ht="10.5" thickBot="1">
      <c r="A5" s="1995" t="s">
        <v>60</v>
      </c>
      <c r="B5" s="1996">
        <f t="shared" ref="B5:AJ5" si="0">B6+B9+B12+B15+B18+B21+B22</f>
        <v>173.40928000000002</v>
      </c>
      <c r="C5" s="1997">
        <f t="shared" si="0"/>
        <v>0</v>
      </c>
      <c r="D5" s="1998">
        <f t="shared" si="0"/>
        <v>0</v>
      </c>
      <c r="E5" s="1998">
        <f t="shared" si="0"/>
        <v>0</v>
      </c>
      <c r="F5" s="1998">
        <f t="shared" si="0"/>
        <v>0</v>
      </c>
      <c r="G5" s="1998">
        <f t="shared" si="0"/>
        <v>0</v>
      </c>
      <c r="H5" s="1680">
        <f t="shared" si="0"/>
        <v>0</v>
      </c>
      <c r="I5" s="1996">
        <f t="shared" si="0"/>
        <v>5938.5873699999993</v>
      </c>
      <c r="J5" s="1997">
        <f t="shared" si="0"/>
        <v>5855.9605500000007</v>
      </c>
      <c r="K5" s="1998">
        <f t="shared" si="0"/>
        <v>1185.3598200000001</v>
      </c>
      <c r="L5" s="1998">
        <f t="shared" si="0"/>
        <v>263.96132</v>
      </c>
      <c r="M5" s="1996">
        <f t="shared" si="0"/>
        <v>7305.2816899999989</v>
      </c>
      <c r="N5" s="1997">
        <f t="shared" si="0"/>
        <v>26107.735140000001</v>
      </c>
      <c r="O5" s="1998">
        <f t="shared" si="0"/>
        <v>6042.4753099999998</v>
      </c>
      <c r="P5" s="1998">
        <f t="shared" si="0"/>
        <v>5314.45183</v>
      </c>
      <c r="Q5" s="1996">
        <f t="shared" si="0"/>
        <v>37464.662279999997</v>
      </c>
      <c r="R5" s="1997">
        <f t="shared" si="0"/>
        <v>42.38176</v>
      </c>
      <c r="S5" s="1998">
        <f t="shared" si="0"/>
        <v>0</v>
      </c>
      <c r="T5" s="1998">
        <f t="shared" si="0"/>
        <v>0</v>
      </c>
      <c r="U5" s="1996">
        <f t="shared" si="0"/>
        <v>42.38176</v>
      </c>
      <c r="V5" s="1997">
        <f t="shared" si="0"/>
        <v>7685.0333999999993</v>
      </c>
      <c r="W5" s="1998">
        <f t="shared" si="0"/>
        <v>1647.93271</v>
      </c>
      <c r="X5" s="1998">
        <f t="shared" si="0"/>
        <v>920.75654999999995</v>
      </c>
      <c r="Y5" s="1996">
        <f t="shared" si="0"/>
        <v>10253.722659999999</v>
      </c>
      <c r="Z5" s="1997">
        <f t="shared" si="0"/>
        <v>262.21550999999999</v>
      </c>
      <c r="AA5" s="1996">
        <f t="shared" si="0"/>
        <v>86.461410000000001</v>
      </c>
      <c r="AB5" s="1997">
        <f t="shared" si="0"/>
        <v>290.61239999999998</v>
      </c>
      <c r="AC5" s="1998">
        <f t="shared" si="0"/>
        <v>61817.334360000001</v>
      </c>
      <c r="AD5" s="1998">
        <f t="shared" si="0"/>
        <v>0</v>
      </c>
      <c r="AE5" s="1999">
        <f t="shared" si="0"/>
        <v>1645.4006199999999</v>
      </c>
      <c r="AF5" s="2000">
        <f t="shared" si="0"/>
        <v>1846.4751499999998</v>
      </c>
      <c r="AG5" s="1997">
        <f t="shared" si="0"/>
        <v>3491.8757699999996</v>
      </c>
      <c r="AH5" s="1998">
        <f t="shared" si="0"/>
        <v>964.30764999999997</v>
      </c>
      <c r="AI5" s="1998">
        <f t="shared" si="0"/>
        <v>389.18847000000005</v>
      </c>
      <c r="AJ5" s="1998">
        <f t="shared" si="0"/>
        <v>1384.31438</v>
      </c>
      <c r="AK5" s="2001">
        <f>AK6+AK9+AK12+AK15+AK18+AK21+AK22</f>
        <v>2737.8105</v>
      </c>
      <c r="AL5" s="1996">
        <f>AL6+AL9+AL12+AL15+AL18+AL21+AL22</f>
        <v>2881.4379600000002</v>
      </c>
      <c r="AM5" s="1997">
        <f>AM6+AM9+AM12+AM15+AM18+AM21+AM22</f>
        <v>4943.3311900000008</v>
      </c>
      <c r="AN5" s="1996">
        <f>AN6+AN9+AN12+AN15+AN18+AN21+AN22</f>
        <v>75871.789779999992</v>
      </c>
      <c r="AO5" s="1182">
        <f>AO6+AO9+AO12+AO15+AO18+AO21+AO22</f>
        <v>88352.590154666657</v>
      </c>
      <c r="AP5" s="1183">
        <f>AN5-AO5</f>
        <v>-12480.800374666665</v>
      </c>
    </row>
    <row r="6" spans="1:42" s="226" customFormat="1">
      <c r="A6" s="2002" t="s">
        <v>61</v>
      </c>
      <c r="B6" s="1084"/>
      <c r="C6" s="1043"/>
      <c r="D6" s="1043"/>
      <c r="E6" s="1043"/>
      <c r="F6" s="1043"/>
      <c r="G6" s="1044"/>
      <c r="H6" s="2003">
        <f>C6+D6+E6+F6+G6</f>
        <v>0</v>
      </c>
      <c r="I6" s="1084"/>
      <c r="J6" s="1043"/>
      <c r="K6" s="2204">
        <v>2.0421200000000002</v>
      </c>
      <c r="L6" s="1070"/>
      <c r="M6" s="981">
        <f>SUM(J6:L6)</f>
        <v>2.0421200000000002</v>
      </c>
      <c r="N6" s="2204">
        <f>23729.03825+2294.625</f>
        <v>26023.663250000001</v>
      </c>
      <c r="O6" s="2204">
        <v>6042.4753099999998</v>
      </c>
      <c r="P6" s="2204">
        <v>5314.45183</v>
      </c>
      <c r="Q6" s="991">
        <f>SUM(N6:P6)</f>
        <v>37380.590389999998</v>
      </c>
      <c r="R6" s="1044"/>
      <c r="S6" s="1184"/>
      <c r="T6" s="1044"/>
      <c r="U6" s="1084">
        <f>SUM(R6:T6)</f>
        <v>0</v>
      </c>
      <c r="V6" s="1043"/>
      <c r="W6" s="1069"/>
      <c r="X6" s="1070"/>
      <c r="Y6" s="991">
        <f>SUM(V6:X6)</f>
        <v>0</v>
      </c>
      <c r="Z6" s="1044"/>
      <c r="AA6" s="991"/>
      <c r="AB6" s="1044"/>
      <c r="AC6" s="1084">
        <f>B6+H6+I6+M6+Q6+U6+Y6+Z6+AA6+AB6</f>
        <v>37382.632509999996</v>
      </c>
      <c r="AD6" s="1044"/>
      <c r="AE6" s="1184"/>
      <c r="AF6" s="1085"/>
      <c r="AG6" s="1084">
        <f>SUM(AD6:AF6)</f>
        <v>0</v>
      </c>
      <c r="AH6" s="1044"/>
      <c r="AI6" s="1184"/>
      <c r="AJ6" s="1044"/>
      <c r="AK6" s="1084">
        <f>SUM(AH6:AJ6)</f>
        <v>0</v>
      </c>
      <c r="AL6" s="1044"/>
      <c r="AM6" s="2236">
        <v>2288.2866399999998</v>
      </c>
      <c r="AN6" s="990">
        <f>AC6+AG6+AK6+AL6+AM6</f>
        <v>39670.919149999994</v>
      </c>
      <c r="AO6" s="1185">
        <f>'вспом. план'!AN6</f>
        <v>49827.154399999999</v>
      </c>
      <c r="AP6" s="1186">
        <f>AN6-AO6</f>
        <v>-10156.235250000005</v>
      </c>
    </row>
    <row r="7" spans="1:42" s="226" customFormat="1">
      <c r="A7" s="2004" t="s">
        <v>62</v>
      </c>
      <c r="B7" s="981"/>
      <c r="C7" s="982"/>
      <c r="D7" s="982"/>
      <c r="E7" s="982"/>
      <c r="F7" s="982"/>
      <c r="G7" s="983"/>
      <c r="H7" s="1660">
        <f t="shared" ref="H7:H40" si="1">C7+D7+E7+F7+G7</f>
        <v>0</v>
      </c>
      <c r="I7" s="981"/>
      <c r="J7" s="983"/>
      <c r="K7" s="2205">
        <v>0.33200000000000002</v>
      </c>
      <c r="L7" s="983"/>
      <c r="M7" s="981">
        <f>SUM(J7:L7)</f>
        <v>0.33200000000000002</v>
      </c>
      <c r="N7" s="2188">
        <f>3812.652+1131.9</f>
        <v>4944.5519999999997</v>
      </c>
      <c r="O7" s="2205">
        <v>1016.992</v>
      </c>
      <c r="P7" s="2204">
        <v>893.97299999999996</v>
      </c>
      <c r="Q7" s="991">
        <f>SUM(N7:P7)</f>
        <v>6855.5169999999998</v>
      </c>
      <c r="R7" s="983"/>
      <c r="S7" s="985"/>
      <c r="T7" s="983"/>
      <c r="U7" s="991">
        <f>SUM(R7:T7)</f>
        <v>0</v>
      </c>
      <c r="V7" s="983"/>
      <c r="W7" s="985"/>
      <c r="X7" s="983"/>
      <c r="Y7" s="991">
        <f>SUM(V7:X7)</f>
        <v>0</v>
      </c>
      <c r="Z7" s="983"/>
      <c r="AA7" s="991"/>
      <c r="AB7" s="983"/>
      <c r="AC7" s="981">
        <f>B7+H7+I7+M7+Q7+U7+Y7+Z7+AA7+AB7</f>
        <v>6855.8490000000002</v>
      </c>
      <c r="AD7" s="983"/>
      <c r="AE7" s="985"/>
      <c r="AF7" s="1077"/>
      <c r="AG7" s="991">
        <f>SUM(AD7:AF7)</f>
        <v>0</v>
      </c>
      <c r="AH7" s="983"/>
      <c r="AI7" s="985"/>
      <c r="AJ7" s="983"/>
      <c r="AK7" s="981">
        <f>SUM(AH7:AJ7)</f>
        <v>0</v>
      </c>
      <c r="AL7" s="983"/>
      <c r="AM7" s="2107">
        <v>262.048</v>
      </c>
      <c r="AN7" s="990">
        <f>AC7+AG7+AK7+AL7+AM7</f>
        <v>7117.8969999999999</v>
      </c>
      <c r="AO7" s="1185">
        <f>'вспом. план'!AN7</f>
        <v>7939.9</v>
      </c>
      <c r="AP7" s="1188">
        <f t="shared" ref="AP7:AP69" si="2">AN7-AO7</f>
        <v>-822.0029999999997</v>
      </c>
    </row>
    <row r="8" spans="1:42" s="227" customFormat="1">
      <c r="A8" s="2004" t="s">
        <v>63</v>
      </c>
      <c r="B8" s="981"/>
      <c r="C8" s="982"/>
      <c r="D8" s="982"/>
      <c r="E8" s="982"/>
      <c r="F8" s="982"/>
      <c r="G8" s="983"/>
      <c r="H8" s="1660">
        <f t="shared" si="1"/>
        <v>0</v>
      </c>
      <c r="I8" s="981"/>
      <c r="J8" s="983"/>
      <c r="K8" s="985">
        <f>K6/K7*1000</f>
        <v>6150.9638554216872</v>
      </c>
      <c r="L8" s="983"/>
      <c r="M8" s="981">
        <f>M6/M7*1000</f>
        <v>6150.9638554216872</v>
      </c>
      <c r="N8" s="983">
        <f>N6/N7*1000</f>
        <v>5263.0983049627148</v>
      </c>
      <c r="O8" s="985">
        <f>O6/O7*1000</f>
        <v>5941.5170522481985</v>
      </c>
      <c r="P8" s="982">
        <f>P6/P7*1000</f>
        <v>5944.7565306782199</v>
      </c>
      <c r="Q8" s="981">
        <f>Q6/Q7*1000</f>
        <v>5452.6289395825288</v>
      </c>
      <c r="R8" s="983"/>
      <c r="S8" s="985"/>
      <c r="T8" s="983"/>
      <c r="U8" s="981" t="e">
        <f>U6/U7*1000</f>
        <v>#DIV/0!</v>
      </c>
      <c r="V8" s="983"/>
      <c r="W8" s="985"/>
      <c r="X8" s="983"/>
      <c r="Y8" s="981" t="e">
        <f>Y6/Y7*1000</f>
        <v>#DIV/0!</v>
      </c>
      <c r="Z8" s="983"/>
      <c r="AA8" s="981"/>
      <c r="AB8" s="983"/>
      <c r="AC8" s="981">
        <f>AC6/AC7*1000</f>
        <v>5452.6627570122964</v>
      </c>
      <c r="AD8" s="983"/>
      <c r="AE8" s="985"/>
      <c r="AF8" s="1077"/>
      <c r="AG8" s="981" t="e">
        <f>AG6/AG7*1000</f>
        <v>#DIV/0!</v>
      </c>
      <c r="AH8" s="983"/>
      <c r="AI8" s="985"/>
      <c r="AJ8" s="983"/>
      <c r="AK8" s="981"/>
      <c r="AL8" s="983"/>
      <c r="AM8" s="981">
        <f>AM6/AM7*1000</f>
        <v>8732.3186591769427</v>
      </c>
      <c r="AN8" s="1077">
        <f>AN6/AN7*1000</f>
        <v>5573.4044971429057</v>
      </c>
      <c r="AO8" s="1189">
        <f>AO6/AO7*1000</f>
        <v>6275.5392889079212</v>
      </c>
      <c r="AP8" s="1188">
        <f t="shared" si="2"/>
        <v>-702.13479176501551</v>
      </c>
    </row>
    <row r="9" spans="1:42" s="226" customFormat="1">
      <c r="A9" s="2004" t="s">
        <v>64</v>
      </c>
      <c r="B9" s="981"/>
      <c r="C9" s="982"/>
      <c r="D9" s="982"/>
      <c r="E9" s="982"/>
      <c r="F9" s="982"/>
      <c r="G9" s="983"/>
      <c r="H9" s="1660">
        <f t="shared" si="1"/>
        <v>0</v>
      </c>
      <c r="I9" s="981"/>
      <c r="J9" s="983"/>
      <c r="K9" s="2205">
        <v>63.876730000000002</v>
      </c>
      <c r="L9" s="983"/>
      <c r="M9" s="981">
        <f>SUM(J9:L9)</f>
        <v>63.876730000000002</v>
      </c>
      <c r="N9" s="983"/>
      <c r="O9" s="985"/>
      <c r="P9" s="983"/>
      <c r="Q9" s="991">
        <f>SUM(N9:P9)</f>
        <v>0</v>
      </c>
      <c r="R9" s="983"/>
      <c r="S9" s="985"/>
      <c r="T9" s="983"/>
      <c r="U9" s="991">
        <f>SUM(R9:T9)</f>
        <v>0</v>
      </c>
      <c r="V9" s="2188">
        <v>7682.4372599999997</v>
      </c>
      <c r="W9" s="2205">
        <v>1647.93271</v>
      </c>
      <c r="X9" s="2188">
        <v>920.75654999999995</v>
      </c>
      <c r="Y9" s="981">
        <f>SUM(V9:X9)</f>
        <v>10251.12652</v>
      </c>
      <c r="Z9" s="983"/>
      <c r="AA9" s="981"/>
      <c r="AB9" s="2188">
        <v>199.03473</v>
      </c>
      <c r="AC9" s="981">
        <f>B9+H9+I9+M9+Q9+U9+Y9+Z9+AA9+AB9</f>
        <v>10514.037979999999</v>
      </c>
      <c r="AD9" s="983"/>
      <c r="AE9" s="985"/>
      <c r="AF9" s="1077"/>
      <c r="AG9" s="991">
        <f>SUM(AD9:AF9)</f>
        <v>0</v>
      </c>
      <c r="AH9" s="983"/>
      <c r="AI9" s="985"/>
      <c r="AJ9" s="983"/>
      <c r="AK9" s="981">
        <f>SUM(AH9:AJ9)</f>
        <v>0</v>
      </c>
      <c r="AL9" s="983"/>
      <c r="AM9" s="981"/>
      <c r="AN9" s="990">
        <f>AC9+AG9+AK9+AL9+AM9</f>
        <v>10514.037979999999</v>
      </c>
      <c r="AO9" s="1185">
        <f>'вспом. план'!AN9</f>
        <v>8675.760000000002</v>
      </c>
      <c r="AP9" s="1188">
        <f t="shared" si="2"/>
        <v>1838.2779799999971</v>
      </c>
    </row>
    <row r="10" spans="1:42" s="226" customFormat="1">
      <c r="A10" s="2004" t="s">
        <v>65</v>
      </c>
      <c r="B10" s="981"/>
      <c r="C10" s="982"/>
      <c r="D10" s="982"/>
      <c r="E10" s="982"/>
      <c r="F10" s="982"/>
      <c r="G10" s="983"/>
      <c r="H10" s="1660">
        <f t="shared" si="1"/>
        <v>0</v>
      </c>
      <c r="I10" s="981"/>
      <c r="J10" s="983"/>
      <c r="K10" s="2205">
        <v>10.628</v>
      </c>
      <c r="L10" s="983"/>
      <c r="M10" s="981">
        <f>SUM(J10:L10)</f>
        <v>10.628</v>
      </c>
      <c r="N10" s="983"/>
      <c r="O10" s="985"/>
      <c r="P10" s="983"/>
      <c r="Q10" s="991">
        <f>SUM(N10:P10)</f>
        <v>0</v>
      </c>
      <c r="R10" s="983"/>
      <c r="S10" s="985"/>
      <c r="T10" s="983"/>
      <c r="U10" s="991">
        <f>SUM(R10:T10)</f>
        <v>0</v>
      </c>
      <c r="V10" s="2188">
        <v>1286.1420000000001</v>
      </c>
      <c r="W10" s="2205">
        <v>277.10199999999998</v>
      </c>
      <c r="X10" s="2188">
        <v>154.13200000000001</v>
      </c>
      <c r="Y10" s="981">
        <f>SUM(V10:X10)</f>
        <v>1717.3760000000002</v>
      </c>
      <c r="Z10" s="983"/>
      <c r="AA10" s="981"/>
      <c r="AB10" s="2188">
        <v>32.954000000000001</v>
      </c>
      <c r="AC10" s="981">
        <f>B10+H10+I10+M10+Q10+U10+Y10+Z10+AA10+AB10</f>
        <v>1760.9580000000001</v>
      </c>
      <c r="AD10" s="983"/>
      <c r="AE10" s="985"/>
      <c r="AF10" s="1077"/>
      <c r="AG10" s="991">
        <f>SUM(AD10:AF10)</f>
        <v>0</v>
      </c>
      <c r="AH10" s="983"/>
      <c r="AI10" s="985"/>
      <c r="AJ10" s="983"/>
      <c r="AK10" s="981">
        <f>SUM(AH10:AJ10)</f>
        <v>0</v>
      </c>
      <c r="AL10" s="983"/>
      <c r="AM10" s="981"/>
      <c r="AN10" s="990">
        <f>AC10+AG10+AK10+AL10+AM10</f>
        <v>1760.9580000000001</v>
      </c>
      <c r="AO10" s="1185">
        <f>'вспом. план'!AN10</f>
        <v>1471.2</v>
      </c>
      <c r="AP10" s="1188">
        <f t="shared" si="2"/>
        <v>289.75800000000004</v>
      </c>
    </row>
    <row r="11" spans="1:42" s="227" customFormat="1">
      <c r="A11" s="2004" t="s">
        <v>63</v>
      </c>
      <c r="B11" s="981"/>
      <c r="C11" s="982"/>
      <c r="D11" s="982"/>
      <c r="E11" s="982"/>
      <c r="F11" s="982"/>
      <c r="G11" s="983"/>
      <c r="H11" s="1660">
        <f t="shared" si="1"/>
        <v>0</v>
      </c>
      <c r="I11" s="981"/>
      <c r="J11" s="983"/>
      <c r="K11" s="985">
        <f>K9/K10*1000</f>
        <v>6010.2305231464061</v>
      </c>
      <c r="L11" s="983"/>
      <c r="M11" s="981">
        <f>M9/M10*1000</f>
        <v>6010.2305231464061</v>
      </c>
      <c r="N11" s="983"/>
      <c r="O11" s="985"/>
      <c r="P11" s="983"/>
      <c r="Q11" s="981" t="e">
        <f>Q9/Q10*1000</f>
        <v>#DIV/0!</v>
      </c>
      <c r="R11" s="983"/>
      <c r="S11" s="985"/>
      <c r="T11" s="983"/>
      <c r="U11" s="981" t="e">
        <f>U9/U10*1000</f>
        <v>#DIV/0!</v>
      </c>
      <c r="V11" s="983">
        <f>V9/V10*1000</f>
        <v>5973.2418815340761</v>
      </c>
      <c r="W11" s="985">
        <f>W9/W10*1000</f>
        <v>5947.0256800744855</v>
      </c>
      <c r="X11" s="983">
        <f>X9/X10*1000</f>
        <v>5973.8182207458531</v>
      </c>
      <c r="Y11" s="981">
        <f>Y9/Y10*1000</f>
        <v>5969.0635714019518</v>
      </c>
      <c r="Z11" s="983"/>
      <c r="AA11" s="981"/>
      <c r="AB11" s="983">
        <f>AB9/AB10*1000</f>
        <v>6039.7745341991867</v>
      </c>
      <c r="AC11" s="981">
        <f>AC9/AC10*1000</f>
        <v>5970.6352905634312</v>
      </c>
      <c r="AD11" s="983"/>
      <c r="AE11" s="985"/>
      <c r="AF11" s="1077"/>
      <c r="AG11" s="981" t="e">
        <f>AG9/AG10*1000</f>
        <v>#DIV/0!</v>
      </c>
      <c r="AH11" s="983"/>
      <c r="AI11" s="1663"/>
      <c r="AJ11" s="1001"/>
      <c r="AK11" s="981"/>
      <c r="AL11" s="983"/>
      <c r="AM11" s="981"/>
      <c r="AN11" s="1077">
        <f>AN9/AN10*1000</f>
        <v>5970.6352905634312</v>
      </c>
      <c r="AO11" s="1189">
        <f>AO9/AO10*1000</f>
        <v>5897.0636215334434</v>
      </c>
      <c r="AP11" s="1188">
        <f t="shared" si="2"/>
        <v>73.571669029987788</v>
      </c>
    </row>
    <row r="12" spans="1:42" s="226" customFormat="1">
      <c r="A12" s="2004" t="s">
        <v>66</v>
      </c>
      <c r="B12" s="2186">
        <v>2.54921</v>
      </c>
      <c r="C12" s="982"/>
      <c r="D12" s="982"/>
      <c r="E12" s="982"/>
      <c r="F12" s="982"/>
      <c r="G12" s="983"/>
      <c r="H12" s="1660">
        <f t="shared" si="1"/>
        <v>0</v>
      </c>
      <c r="I12" s="2186">
        <v>2.0329299999999999</v>
      </c>
      <c r="J12" s="2188">
        <v>1522.1263899999999</v>
      </c>
      <c r="K12" s="2205">
        <v>535.99950000000001</v>
      </c>
      <c r="L12" s="2188">
        <v>117.41313</v>
      </c>
      <c r="M12" s="981">
        <f>SUM(J12:L12)</f>
        <v>2175.5390199999997</v>
      </c>
      <c r="N12" s="983"/>
      <c r="O12" s="985"/>
      <c r="P12" s="983"/>
      <c r="Q12" s="991">
        <f>SUM(N12:P12)</f>
        <v>0</v>
      </c>
      <c r="R12" s="983"/>
      <c r="S12" s="985"/>
      <c r="T12" s="983"/>
      <c r="U12" s="991">
        <f>SUM(R12:T12)</f>
        <v>0</v>
      </c>
      <c r="V12" s="2005"/>
      <c r="W12" s="988"/>
      <c r="X12" s="2005"/>
      <c r="Y12" s="991">
        <f>SUM(V12:X12)</f>
        <v>0</v>
      </c>
      <c r="Z12" s="2188">
        <v>0.73975999999999997</v>
      </c>
      <c r="AA12" s="991"/>
      <c r="AB12" s="2204">
        <v>1.1836199999999999</v>
      </c>
      <c r="AC12" s="981">
        <f>B12+H12+I12+M12+Q12+U12+Y12+Z12+AA12+AB12</f>
        <v>2182.0445399999994</v>
      </c>
      <c r="AD12" s="983"/>
      <c r="AE12" s="985"/>
      <c r="AF12" s="1077"/>
      <c r="AG12" s="991">
        <f>SUM(AD12:AF12)</f>
        <v>0</v>
      </c>
      <c r="AH12" s="2188">
        <v>150.57474999999999</v>
      </c>
      <c r="AI12" s="2205">
        <v>134.65669</v>
      </c>
      <c r="AJ12" s="983"/>
      <c r="AK12" s="2186">
        <f>SUM(AH12:AJ12)</f>
        <v>285.23144000000002</v>
      </c>
      <c r="AL12" s="1187"/>
      <c r="AM12" s="981"/>
      <c r="AN12" s="990">
        <f>AC12+AG12+AK12+AL12+AM12</f>
        <v>2467.2759799999994</v>
      </c>
      <c r="AO12" s="1185">
        <f>'вспом. план'!AN12</f>
        <v>1932.35904</v>
      </c>
      <c r="AP12" s="1188">
        <f t="shared" si="2"/>
        <v>534.91693999999939</v>
      </c>
    </row>
    <row r="13" spans="1:42" s="226" customFormat="1">
      <c r="A13" s="2004" t="s">
        <v>12</v>
      </c>
      <c r="B13" s="2186">
        <f>0.16*0.56</f>
        <v>8.9600000000000013E-2</v>
      </c>
      <c r="C13" s="982"/>
      <c r="D13" s="982"/>
      <c r="E13" s="982"/>
      <c r="F13" s="982"/>
      <c r="G13" s="983"/>
      <c r="H13" s="1660">
        <f t="shared" si="1"/>
        <v>0</v>
      </c>
      <c r="I13" s="2186">
        <f>0.12*0.56</f>
        <v>6.720000000000001E-2</v>
      </c>
      <c r="J13" s="2188">
        <f>92.32581*0.56</f>
        <v>51.702453600000005</v>
      </c>
      <c r="K13" s="2205">
        <f>32.51051*0.56</f>
        <v>18.205885599999998</v>
      </c>
      <c r="L13" s="2188">
        <f>7.10497*0.56</f>
        <v>3.9787832000000001</v>
      </c>
      <c r="M13" s="981">
        <f>SUM(J13:L13)</f>
        <v>73.887122399999996</v>
      </c>
      <c r="N13" s="983"/>
      <c r="O13" s="985"/>
      <c r="P13" s="983"/>
      <c r="Q13" s="991">
        <f>SUM(N13:P13)</f>
        <v>0</v>
      </c>
      <c r="R13" s="983"/>
      <c r="S13" s="985"/>
      <c r="T13" s="983"/>
      <c r="U13" s="991">
        <f>SUM(R13:T13)</f>
        <v>0</v>
      </c>
      <c r="V13" s="2005"/>
      <c r="W13" s="988"/>
      <c r="X13" s="2005"/>
      <c r="Y13" s="991">
        <f>SUM(V13:X13)</f>
        <v>0</v>
      </c>
      <c r="Z13" s="2188">
        <f>0.05*0.56</f>
        <v>2.8000000000000004E-2</v>
      </c>
      <c r="AA13" s="991"/>
      <c r="AB13" s="2188">
        <f>0.08*0.56</f>
        <v>4.4800000000000006E-2</v>
      </c>
      <c r="AC13" s="981">
        <f>B13+H13+I13+M13+Q13+U13+Y13+Z13+AA13+AB13</f>
        <v>74.1167224</v>
      </c>
      <c r="AD13" s="983"/>
      <c r="AE13" s="985"/>
      <c r="AF13" s="1077"/>
      <c r="AG13" s="991">
        <f>SUM(AD13:AF13)</f>
        <v>0</v>
      </c>
      <c r="AH13" s="2188">
        <f>8.96916*0.56</f>
        <v>5.0227296000000008</v>
      </c>
      <c r="AI13" s="2205">
        <f>8.20662*0.56</f>
        <v>4.5957071999999997</v>
      </c>
      <c r="AJ13" s="983"/>
      <c r="AK13" s="2186">
        <f>SUM(AH13:AJ13)</f>
        <v>9.6184368000000013</v>
      </c>
      <c r="AL13" s="1187"/>
      <c r="AM13" s="981"/>
      <c r="AN13" s="990">
        <f>AC13+AG13+AK13+AL13+AM13</f>
        <v>83.735159199999998</v>
      </c>
      <c r="AO13" s="1185">
        <f>'вспом. план'!AN13</f>
        <v>87.043199999999999</v>
      </c>
      <c r="AP13" s="1188">
        <f t="shared" si="2"/>
        <v>-3.3080408000000006</v>
      </c>
    </row>
    <row r="14" spans="1:42" s="227" customFormat="1">
      <c r="A14" s="2004" t="s">
        <v>63</v>
      </c>
      <c r="B14" s="981">
        <f>B12/B13*1000</f>
        <v>28451.00446428571</v>
      </c>
      <c r="C14" s="982"/>
      <c r="D14" s="982"/>
      <c r="E14" s="982"/>
      <c r="F14" s="982"/>
      <c r="G14" s="983"/>
      <c r="H14" s="1660">
        <f t="shared" si="1"/>
        <v>0</v>
      </c>
      <c r="I14" s="981">
        <f>I12/I13*1000</f>
        <v>30251.934523809516</v>
      </c>
      <c r="J14" s="1187">
        <f>J12/J13*1000</f>
        <v>29440.11906622551</v>
      </c>
      <c r="K14" s="985">
        <f>K12/K13*1000</f>
        <v>29441.001211168768</v>
      </c>
      <c r="L14" s="1038">
        <f>L12/L13*1000</f>
        <v>29509.808425852407</v>
      </c>
      <c r="M14" s="981">
        <f>M12/M13*1000</f>
        <v>29444.089163770164</v>
      </c>
      <c r="N14" s="983"/>
      <c r="O14" s="985"/>
      <c r="P14" s="983"/>
      <c r="Q14" s="981" t="e">
        <f>Q12/Q13*1000</f>
        <v>#DIV/0!</v>
      </c>
      <c r="R14" s="983"/>
      <c r="S14" s="985"/>
      <c r="T14" s="983"/>
      <c r="U14" s="981" t="e">
        <f>U12/U13*1000</f>
        <v>#DIV/0!</v>
      </c>
      <c r="V14" s="2005"/>
      <c r="W14" s="988"/>
      <c r="X14" s="2005"/>
      <c r="Y14" s="981" t="e">
        <f>Y12/Y13*1000</f>
        <v>#DIV/0!</v>
      </c>
      <c r="Z14" s="983">
        <f>Z12/Z13*1000</f>
        <v>26419.999999999996</v>
      </c>
      <c r="AA14" s="981"/>
      <c r="AB14" s="983">
        <f>AB12/AB13*1000</f>
        <v>26420.089285714279</v>
      </c>
      <c r="AC14" s="981">
        <f>AC12/AC13*1000</f>
        <v>29440.650764664675</v>
      </c>
      <c r="AD14" s="983"/>
      <c r="AE14" s="985"/>
      <c r="AF14" s="1077"/>
      <c r="AG14" s="981" t="e">
        <f>AG12/AG13*1000</f>
        <v>#DIV/0!</v>
      </c>
      <c r="AH14" s="983">
        <f>AH12/AH13*1000</f>
        <v>29978.669367349572</v>
      </c>
      <c r="AI14" s="985">
        <f>$J$14</f>
        <v>29440.11906622551</v>
      </c>
      <c r="AJ14" s="983"/>
      <c r="AK14" s="981">
        <f>AK12/AK13*1000</f>
        <v>29654.65656539948</v>
      </c>
      <c r="AL14" s="1187"/>
      <c r="AM14" s="981"/>
      <c r="AN14" s="1077">
        <f>AN12/AN13*1000</f>
        <v>29465.233046335445</v>
      </c>
      <c r="AO14" s="1189">
        <f>AO12/AO13*1000</f>
        <v>22200</v>
      </c>
      <c r="AP14" s="1188">
        <f t="shared" si="2"/>
        <v>7265.2330463354447</v>
      </c>
    </row>
    <row r="15" spans="1:42" s="226" customFormat="1">
      <c r="A15" s="2004" t="s">
        <v>67</v>
      </c>
      <c r="B15" s="981"/>
      <c r="C15" s="982"/>
      <c r="D15" s="982"/>
      <c r="E15" s="982"/>
      <c r="F15" s="982"/>
      <c r="G15" s="983"/>
      <c r="H15" s="1660">
        <f t="shared" si="1"/>
        <v>0</v>
      </c>
      <c r="I15" s="2186">
        <v>5434.9728299999997</v>
      </c>
      <c r="J15" s="2188">
        <v>3064.87338</v>
      </c>
      <c r="K15" s="2205">
        <v>178.12812</v>
      </c>
      <c r="L15" s="2188">
        <v>42.29551</v>
      </c>
      <c r="M15" s="981">
        <f>SUM(J15:L15)</f>
        <v>3285.2970099999998</v>
      </c>
      <c r="N15" s="2188">
        <v>0.35172999999999999</v>
      </c>
      <c r="O15" s="985"/>
      <c r="P15" s="983"/>
      <c r="Q15" s="991">
        <f>SUM(N15:P15)</f>
        <v>0.35172999999999999</v>
      </c>
      <c r="R15" s="983"/>
      <c r="S15" s="985"/>
      <c r="T15" s="983"/>
      <c r="U15" s="991">
        <f>SUM(R15:T15)</f>
        <v>0</v>
      </c>
      <c r="V15" s="983"/>
      <c r="W15" s="985"/>
      <c r="X15" s="983"/>
      <c r="Y15" s="991">
        <f>SUM(V15:X15)</f>
        <v>0</v>
      </c>
      <c r="Z15" s="2188">
        <v>46.82291</v>
      </c>
      <c r="AA15" s="991"/>
      <c r="AB15" s="983"/>
      <c r="AC15" s="981">
        <f>B15+H15+I15+M15+Q15+U15+Y15+Z15+AA15+AB15</f>
        <v>8767.4444800000001</v>
      </c>
      <c r="AD15" s="983"/>
      <c r="AE15" s="2205">
        <v>17.314720000000001</v>
      </c>
      <c r="AF15" s="2190">
        <v>152.33609999999999</v>
      </c>
      <c r="AG15" s="991">
        <f>SUM(AD15:AF15)</f>
        <v>169.65081999999998</v>
      </c>
      <c r="AH15" s="18"/>
      <c r="AI15" s="1664"/>
      <c r="AJ15" s="375"/>
      <c r="AK15" s="981">
        <f>SUM(AH15:AJ15)</f>
        <v>0</v>
      </c>
      <c r="AL15" s="1187"/>
      <c r="AM15" s="981"/>
      <c r="AN15" s="990">
        <f>AC15+AG15+AK15+AL15+AM15</f>
        <v>8937.0953000000009</v>
      </c>
      <c r="AO15" s="1185">
        <f>'вспом. план'!AN15</f>
        <v>9239.4499999999989</v>
      </c>
      <c r="AP15" s="1188">
        <f t="shared" si="2"/>
        <v>-302.35469999999805</v>
      </c>
    </row>
    <row r="16" spans="1:42" s="226" customFormat="1">
      <c r="A16" s="2004" t="s">
        <v>69</v>
      </c>
      <c r="B16" s="981"/>
      <c r="C16" s="982"/>
      <c r="D16" s="982"/>
      <c r="E16" s="982"/>
      <c r="F16" s="982"/>
      <c r="G16" s="983"/>
      <c r="H16" s="1660">
        <f t="shared" si="1"/>
        <v>0</v>
      </c>
      <c r="I16" s="2186">
        <v>153.82599999999999</v>
      </c>
      <c r="J16" s="2188">
        <v>85.953000000000003</v>
      </c>
      <c r="K16" s="2205">
        <v>5.0199999999999996</v>
      </c>
      <c r="L16" s="2188">
        <v>1.2</v>
      </c>
      <c r="M16" s="981">
        <f>SUM(J16:L16)</f>
        <v>92.173000000000002</v>
      </c>
      <c r="N16" s="2188">
        <v>0.01</v>
      </c>
      <c r="O16" s="985"/>
      <c r="P16" s="983"/>
      <c r="Q16" s="991">
        <f>SUM(N16:P16)</f>
        <v>0.01</v>
      </c>
      <c r="R16" s="983"/>
      <c r="S16" s="985"/>
      <c r="T16" s="983"/>
      <c r="U16" s="991">
        <f>SUM(R16:T16)</f>
        <v>0</v>
      </c>
      <c r="V16" s="983"/>
      <c r="W16" s="985"/>
      <c r="X16" s="983"/>
      <c r="Y16" s="991">
        <f>SUM(V16:X16)</f>
        <v>0</v>
      </c>
      <c r="Z16" s="2188">
        <v>1.32</v>
      </c>
      <c r="AA16" s="991"/>
      <c r="AB16" s="983"/>
      <c r="AC16" s="981">
        <f>B16+H16+I16+M16+Q16+U16+Y16+Z16+AA16+AB16</f>
        <v>247.32899999999998</v>
      </c>
      <c r="AD16" s="983"/>
      <c r="AE16" s="2205">
        <v>0.49</v>
      </c>
      <c r="AF16" s="2190">
        <v>4.08</v>
      </c>
      <c r="AG16" s="991">
        <f>SUM(AD16:AF16)</f>
        <v>4.57</v>
      </c>
      <c r="AH16" s="18"/>
      <c r="AI16" s="1665"/>
      <c r="AJ16" s="19"/>
      <c r="AK16" s="981">
        <f>SUM(AH16:AJ16)</f>
        <v>0</v>
      </c>
      <c r="AL16" s="1187"/>
      <c r="AM16" s="981"/>
      <c r="AN16" s="990">
        <f>AC16+AG16+AK16+AL16+AM16</f>
        <v>251.89899999999997</v>
      </c>
      <c r="AO16" s="1185">
        <f>'вспом. план'!AN16</f>
        <v>279.98333333333335</v>
      </c>
      <c r="AP16" s="1188">
        <f t="shared" si="2"/>
        <v>-28.084333333333376</v>
      </c>
    </row>
    <row r="17" spans="1:42" s="226" customFormat="1">
      <c r="A17" s="2004" t="s">
        <v>63</v>
      </c>
      <c r="B17" s="981"/>
      <c r="C17" s="982"/>
      <c r="D17" s="982"/>
      <c r="E17" s="982"/>
      <c r="F17" s="982"/>
      <c r="G17" s="983"/>
      <c r="H17" s="1660">
        <f t="shared" si="1"/>
        <v>0</v>
      </c>
      <c r="I17" s="981">
        <f t="shared" ref="I17:N17" si="3">I15/I16*1000</f>
        <v>35331.951880696375</v>
      </c>
      <c r="J17" s="1187">
        <f t="shared" si="3"/>
        <v>35657.549823740883</v>
      </c>
      <c r="K17" s="985">
        <f t="shared" si="3"/>
        <v>35483.689243027889</v>
      </c>
      <c r="L17" s="1038">
        <f t="shared" si="3"/>
        <v>35246.258333333339</v>
      </c>
      <c r="M17" s="981">
        <f t="shared" si="3"/>
        <v>35642.726286439625</v>
      </c>
      <c r="N17" s="1187">
        <f t="shared" si="3"/>
        <v>35172.999999999993</v>
      </c>
      <c r="O17" s="985"/>
      <c r="P17" s="983"/>
      <c r="Q17" s="981">
        <f>Q15/Q16*1000</f>
        <v>35172.999999999993</v>
      </c>
      <c r="R17" s="983"/>
      <c r="S17" s="985"/>
      <c r="T17" s="983"/>
      <c r="U17" s="981" t="e">
        <f>U15/U16*1000</f>
        <v>#DIV/0!</v>
      </c>
      <c r="V17" s="983"/>
      <c r="W17" s="985"/>
      <c r="X17" s="983"/>
      <c r="Y17" s="981" t="e">
        <f>Y15/Y16*1000</f>
        <v>#DIV/0!</v>
      </c>
      <c r="Z17" s="1187">
        <f>Z15/Z16*1000</f>
        <v>35471.901515151512</v>
      </c>
      <c r="AA17" s="981"/>
      <c r="AB17" s="983"/>
      <c r="AC17" s="981">
        <f>AC15/AC16*1000</f>
        <v>35448.5097986892</v>
      </c>
      <c r="AD17" s="983"/>
      <c r="AE17" s="985">
        <f>AE15/AE16*1000</f>
        <v>35336.163265306124</v>
      </c>
      <c r="AF17" s="1077">
        <f>AF15/AF16*1000</f>
        <v>37337.279411764706</v>
      </c>
      <c r="AG17" s="981">
        <f>AG15/AG16*1000</f>
        <v>37122.717724288836</v>
      </c>
      <c r="AH17" s="2006"/>
      <c r="AI17" s="2007"/>
      <c r="AJ17" s="2008"/>
      <c r="AK17" s="1081"/>
      <c r="AL17" s="1187"/>
      <c r="AM17" s="981"/>
      <c r="AN17" s="1077">
        <f>AN15/AN16*1000</f>
        <v>35478.883600173089</v>
      </c>
      <c r="AO17" s="1189">
        <f>AO15/AO16*1000</f>
        <v>32999.999999999993</v>
      </c>
      <c r="AP17" s="1188">
        <f t="shared" si="2"/>
        <v>2478.8836001730961</v>
      </c>
    </row>
    <row r="18" spans="1:42" s="226" customFormat="1">
      <c r="A18" s="2004" t="s">
        <v>68</v>
      </c>
      <c r="B18" s="2186">
        <v>0.70699000000000001</v>
      </c>
      <c r="C18" s="982"/>
      <c r="D18" s="982"/>
      <c r="E18" s="982"/>
      <c r="F18" s="982"/>
      <c r="G18" s="983"/>
      <c r="H18" s="1660">
        <f t="shared" si="1"/>
        <v>0</v>
      </c>
      <c r="I18" s="2186">
        <v>7.9015000000000004</v>
      </c>
      <c r="J18" s="2188">
        <f>748.34538+38.34844</f>
        <v>786.69381999999996</v>
      </c>
      <c r="K18" s="2205">
        <v>322.89422999999999</v>
      </c>
      <c r="L18" s="2188">
        <v>81.846109999999996</v>
      </c>
      <c r="M18" s="981">
        <f>SUM(J18:L18)</f>
        <v>1191.4341599999998</v>
      </c>
      <c r="N18" s="983"/>
      <c r="O18" s="985"/>
      <c r="P18" s="983"/>
      <c r="Q18" s="991">
        <f t="shared" ref="Q18:Q40" si="4">SUM(N18:P18)</f>
        <v>0</v>
      </c>
      <c r="R18" s="2188">
        <v>8.3661100000000008</v>
      </c>
      <c r="S18" s="985"/>
      <c r="T18" s="983"/>
      <c r="U18" s="991">
        <f t="shared" ref="U18:U40" si="5">SUM(R18:T18)</f>
        <v>8.3661100000000008</v>
      </c>
      <c r="V18" s="983"/>
      <c r="W18" s="985"/>
      <c r="X18" s="983"/>
      <c r="Y18" s="991">
        <f t="shared" ref="Y18:Y40" si="6">SUM(V18:X18)</f>
        <v>0</v>
      </c>
      <c r="Z18" s="2188">
        <v>2.1136400000000002</v>
      </c>
      <c r="AA18" s="991"/>
      <c r="AB18" s="983"/>
      <c r="AC18" s="981">
        <f>B18+H18+I18+M18+Q18+U18+Y18+Z18+AA18+AB18</f>
        <v>1210.5223999999998</v>
      </c>
      <c r="AD18" s="983"/>
      <c r="AE18" s="2205">
        <v>2.1191800000000001</v>
      </c>
      <c r="AF18" s="2204">
        <v>2.7987500000000001</v>
      </c>
      <c r="AG18" s="991">
        <f>SUM(AD18:AF18)</f>
        <v>4.9179300000000001</v>
      </c>
      <c r="AH18" s="2188">
        <v>769.99055999999996</v>
      </c>
      <c r="AI18" s="2205">
        <v>22.70655</v>
      </c>
      <c r="AJ18" s="2204">
        <v>0.70509999999999995</v>
      </c>
      <c r="AK18" s="2186">
        <f>SUM(AH18:AJ18)</f>
        <v>793.40220999999997</v>
      </c>
      <c r="AL18" s="1187"/>
      <c r="AM18" s="981"/>
      <c r="AN18" s="990">
        <f>AC18+AG18+AK18+AL18+AM18</f>
        <v>2008.8425399999999</v>
      </c>
      <c r="AO18" s="1185">
        <f>'вспом. план'!AN18</f>
        <v>1796.2080000000001</v>
      </c>
      <c r="AP18" s="1188">
        <f t="shared" si="2"/>
        <v>212.63453999999979</v>
      </c>
    </row>
    <row r="19" spans="1:42" s="226" customFormat="1">
      <c r="A19" s="2004" t="s">
        <v>69</v>
      </c>
      <c r="B19" s="2186">
        <v>0.02</v>
      </c>
      <c r="C19" s="982"/>
      <c r="D19" s="982"/>
      <c r="E19" s="982"/>
      <c r="F19" s="982"/>
      <c r="G19" s="983"/>
      <c r="H19" s="1660">
        <f t="shared" si="1"/>
        <v>0</v>
      </c>
      <c r="I19" s="2186">
        <v>0.22700000000000001</v>
      </c>
      <c r="J19" s="2188">
        <f>21.44109+1.103</f>
        <v>22.544090000000001</v>
      </c>
      <c r="K19" s="2205">
        <v>9.2743099999999998</v>
      </c>
      <c r="L19" s="2188">
        <v>2.36</v>
      </c>
      <c r="M19" s="981">
        <f>SUM(J19:L19)</f>
        <v>34.178400000000003</v>
      </c>
      <c r="N19" s="983"/>
      <c r="O19" s="985"/>
      <c r="P19" s="983"/>
      <c r="Q19" s="991">
        <f>SUM(N19:P19)</f>
        <v>0</v>
      </c>
      <c r="R19" s="2188">
        <v>0.24</v>
      </c>
      <c r="S19" s="985"/>
      <c r="T19" s="983"/>
      <c r="U19" s="991">
        <f t="shared" si="5"/>
        <v>0.24</v>
      </c>
      <c r="V19" s="983"/>
      <c r="W19" s="985"/>
      <c r="X19" s="983"/>
      <c r="Y19" s="991">
        <f t="shared" si="6"/>
        <v>0</v>
      </c>
      <c r="Z19" s="2188">
        <v>0.06</v>
      </c>
      <c r="AA19" s="991"/>
      <c r="AB19" s="983"/>
      <c r="AC19" s="981">
        <f>B19+H19+I19+M19+Q19+U19+Y19+Z19+AA19+AB19</f>
        <v>34.725400000000008</v>
      </c>
      <c r="AD19" s="983"/>
      <c r="AE19" s="2205">
        <v>0.06</v>
      </c>
      <c r="AF19" s="2190">
        <v>0.08</v>
      </c>
      <c r="AG19" s="991">
        <f>SUM(AD19:AF19)</f>
        <v>0.14000000000000001</v>
      </c>
      <c r="AH19" s="2188">
        <v>21.283259999999999</v>
      </c>
      <c r="AI19" s="2205">
        <v>0.65</v>
      </c>
      <c r="AJ19" s="2204">
        <v>0.02</v>
      </c>
      <c r="AK19" s="2186">
        <f>SUM(AH19:AJ19)</f>
        <v>21.953259999999997</v>
      </c>
      <c r="AL19" s="1187"/>
      <c r="AM19" s="981"/>
      <c r="AN19" s="990">
        <f>AC19+AG19+AK19+AL19+AM19</f>
        <v>56.818660000000008</v>
      </c>
      <c r="AO19" s="1185">
        <f>'вспом. план'!AN19</f>
        <v>52.03</v>
      </c>
      <c r="AP19" s="1188">
        <f t="shared" si="2"/>
        <v>4.7886600000000072</v>
      </c>
    </row>
    <row r="20" spans="1:42" s="470" customFormat="1">
      <c r="A20" s="2009" t="s">
        <v>63</v>
      </c>
      <c r="B20" s="981">
        <f>B18/B19*1000</f>
        <v>35349.5</v>
      </c>
      <c r="C20" s="2010"/>
      <c r="D20" s="2010"/>
      <c r="E20" s="2010"/>
      <c r="F20" s="2010"/>
      <c r="G20" s="2005"/>
      <c r="H20" s="1646">
        <f t="shared" si="1"/>
        <v>0</v>
      </c>
      <c r="I20" s="981">
        <f>I18/I19*1000</f>
        <v>34808.370044052863</v>
      </c>
      <c r="J20" s="1187">
        <f>J18/J19*1000</f>
        <v>34895.789539520112</v>
      </c>
      <c r="K20" s="985">
        <f>K18/K19*1000</f>
        <v>34815.984154077225</v>
      </c>
      <c r="L20" s="1038">
        <f>L18/L19*1000</f>
        <v>34680.555084745763</v>
      </c>
      <c r="M20" s="1005">
        <f>M18/M19*1000</f>
        <v>34859.272522996973</v>
      </c>
      <c r="N20" s="2011"/>
      <c r="O20" s="988"/>
      <c r="P20" s="2005"/>
      <c r="Q20" s="1005" t="e">
        <f>Q18/Q19*1000</f>
        <v>#DIV/0!</v>
      </c>
      <c r="R20" s="2011">
        <f>R18/R19*1000</f>
        <v>34858.791666666672</v>
      </c>
      <c r="S20" s="988"/>
      <c r="T20" s="2005"/>
      <c r="U20" s="1005">
        <f>U18/U19*1000</f>
        <v>34858.791666666672</v>
      </c>
      <c r="V20" s="2005"/>
      <c r="W20" s="988"/>
      <c r="X20" s="2005"/>
      <c r="Y20" s="1005" t="e">
        <f>Y18/Y19*1000</f>
        <v>#DIV/0!</v>
      </c>
      <c r="Z20" s="2011">
        <f>Z18/Z19*1000</f>
        <v>35227.333333333343</v>
      </c>
      <c r="AA20" s="1005"/>
      <c r="AB20" s="2005"/>
      <c r="AC20" s="1005">
        <f>AC18/AC19*1000</f>
        <v>34859.854746093624</v>
      </c>
      <c r="AD20" s="2005"/>
      <c r="AE20" s="988">
        <f>AE18/AE19*1000</f>
        <v>35319.666666666672</v>
      </c>
      <c r="AF20" s="988">
        <f>AF18/AF19*1000</f>
        <v>34984.375</v>
      </c>
      <c r="AG20" s="1005">
        <f>AG18/AG19*1000</f>
        <v>35128.071428571428</v>
      </c>
      <c r="AH20" s="2005">
        <f>AH18/AH19*1000</f>
        <v>36178.224576498149</v>
      </c>
      <c r="AI20" s="988">
        <f>AI18/AI19*1000</f>
        <v>34933.153846153844</v>
      </c>
      <c r="AJ20" s="2010">
        <f t="shared" ref="AJ20" si="7">$I$20</f>
        <v>34808.370044052863</v>
      </c>
      <c r="AK20" s="1005">
        <f>AK18/AK19*1000</f>
        <v>36140.518993534446</v>
      </c>
      <c r="AL20" s="2011"/>
      <c r="AM20" s="1005"/>
      <c r="AN20" s="1006">
        <f>AN18/AN19*1000</f>
        <v>35355.331153532999</v>
      </c>
      <c r="AO20" s="1189">
        <f>AO18/AO19*1000</f>
        <v>34522.544685758221</v>
      </c>
      <c r="AP20" s="1188">
        <f t="shared" si="2"/>
        <v>832.78646777477843</v>
      </c>
    </row>
    <row r="21" spans="1:42" s="230" customFormat="1">
      <c r="A21" s="2009" t="s">
        <v>70</v>
      </c>
      <c r="B21" s="2187">
        <v>6.7579900000000004</v>
      </c>
      <c r="C21" s="2010"/>
      <c r="D21" s="2010"/>
      <c r="E21" s="2010"/>
      <c r="F21" s="2010"/>
      <c r="G21" s="2005"/>
      <c r="H21" s="1646">
        <f t="shared" si="1"/>
        <v>0</v>
      </c>
      <c r="I21" s="2186">
        <v>263.17498000000001</v>
      </c>
      <c r="J21" s="2188">
        <v>217.99453</v>
      </c>
      <c r="K21" s="2205">
        <v>43.693190000000001</v>
      </c>
      <c r="L21" s="2188">
        <v>18.150919999999999</v>
      </c>
      <c r="M21" s="1005">
        <f>SUM(J21:L21)</f>
        <v>279.83864</v>
      </c>
      <c r="N21" s="983"/>
      <c r="O21" s="988"/>
      <c r="P21" s="2005"/>
      <c r="Q21" s="995">
        <f t="shared" si="4"/>
        <v>0</v>
      </c>
      <c r="R21" s="983"/>
      <c r="S21" s="988"/>
      <c r="T21" s="2005"/>
      <c r="U21" s="995">
        <f t="shared" si="5"/>
        <v>0</v>
      </c>
      <c r="V21" s="983"/>
      <c r="W21" s="985"/>
      <c r="X21" s="983"/>
      <c r="Y21" s="995">
        <f t="shared" si="6"/>
        <v>0</v>
      </c>
      <c r="Z21" s="2188">
        <v>6.1453899999999999</v>
      </c>
      <c r="AA21" s="995"/>
      <c r="AB21" s="983"/>
      <c r="AC21" s="1005">
        <f>B21+H21+I21+M21+Q21+U21+Y21+Z21+AA21+AB21</f>
        <v>555.91700000000003</v>
      </c>
      <c r="AD21" s="2005"/>
      <c r="AE21" s="988"/>
      <c r="AF21" s="2190">
        <v>2.1667399999999999</v>
      </c>
      <c r="AG21" s="995">
        <f>SUM(AD21:AF21)</f>
        <v>2.1667399999999999</v>
      </c>
      <c r="AH21" s="2188">
        <v>35.714939999999999</v>
      </c>
      <c r="AI21" s="2205">
        <v>8.8296200000000002</v>
      </c>
      <c r="AJ21" s="982"/>
      <c r="AK21" s="2187">
        <f>SUM(AH21:AJ21)</f>
        <v>44.544559999999997</v>
      </c>
      <c r="AL21" s="2011"/>
      <c r="AM21" s="1005"/>
      <c r="AN21" s="996">
        <f>AC21+AG21+AK21+AL21+AM21</f>
        <v>602.62830000000008</v>
      </c>
      <c r="AO21" s="1185">
        <f>'вспом. план'!AN21</f>
        <v>557.43538133333334</v>
      </c>
      <c r="AP21" s="1188">
        <f t="shared" si="2"/>
        <v>45.192918666666742</v>
      </c>
    </row>
    <row r="22" spans="1:42" s="230" customFormat="1" ht="16.5">
      <c r="A22" s="2009" t="s">
        <v>71</v>
      </c>
      <c r="B22" s="2186">
        <f>11.07291+105.65894+38.10948+8.55376</f>
        <v>163.39509000000001</v>
      </c>
      <c r="C22" s="982"/>
      <c r="D22" s="982"/>
      <c r="E22" s="982"/>
      <c r="F22" s="982"/>
      <c r="G22" s="983"/>
      <c r="H22" s="1646">
        <f t="shared" si="1"/>
        <v>0</v>
      </c>
      <c r="I22" s="2186">
        <f>9.07291+177.45584+43.97638</f>
        <v>230.50513000000001</v>
      </c>
      <c r="J22" s="2188">
        <f>16.07181+198.05377+48.57256+1.57429</f>
        <v>264.27242999999999</v>
      </c>
      <c r="K22" s="2205">
        <f>35.31083+3.4151</f>
        <v>38.725930000000005</v>
      </c>
      <c r="L22" s="2188">
        <f>2.22755+2.0281</f>
        <v>4.2556499999999993</v>
      </c>
      <c r="M22" s="1005">
        <f>SUM(J22:L22)</f>
        <v>307.25400999999999</v>
      </c>
      <c r="N22" s="2188">
        <f>3.44745+58.76285+20.65658+0.85328</f>
        <v>83.720160000000007</v>
      </c>
      <c r="O22" s="985"/>
      <c r="P22" s="982">
        <f>'[1]затраты вспом.'!P22</f>
        <v>0</v>
      </c>
      <c r="Q22" s="995">
        <f t="shared" si="4"/>
        <v>83.720160000000007</v>
      </c>
      <c r="R22" s="2188">
        <f>2.45974+0.19743+21.66493+9.69355</f>
        <v>34.015650000000001</v>
      </c>
      <c r="S22" s="985"/>
      <c r="T22" s="983"/>
      <c r="U22" s="995">
        <f t="shared" si="5"/>
        <v>34.015650000000001</v>
      </c>
      <c r="V22" s="2188">
        <f>2.59614</f>
        <v>2.5961400000000001</v>
      </c>
      <c r="W22" s="985"/>
      <c r="X22" s="983"/>
      <c r="Y22" s="995">
        <f t="shared" si="6"/>
        <v>2.5961400000000001</v>
      </c>
      <c r="Z22" s="2188">
        <f>3.24788+92.09134+10.79857+0.05602+100.2</f>
        <v>206.39381</v>
      </c>
      <c r="AA22" s="2220">
        <f>4.34284+74.83954+4.73752+2.54151</f>
        <v>86.461410000000001</v>
      </c>
      <c r="AB22" s="2188">
        <f>15.781+12.01794+0.602+50.88849+9.99692+1.1077</f>
        <v>90.394049999999993</v>
      </c>
      <c r="AC22" s="1005">
        <f>B22+H22+I22+M22+Q22+U22+Y22+Z22+AA22+AB22</f>
        <v>1204.7354499999997</v>
      </c>
      <c r="AD22" s="983"/>
      <c r="AE22" s="2205">
        <f>0.2476+275.7757+997.37695+2.01476+116.66883+232.38288+1.5</f>
        <v>1625.9667199999999</v>
      </c>
      <c r="AF22" s="2190">
        <f>37.54887+2.2+1385.94553+92.39197+171.08719</f>
        <v>1689.1735599999997</v>
      </c>
      <c r="AG22" s="995">
        <f>SUM(AD22:AF22)</f>
        <v>3315.1402799999996</v>
      </c>
      <c r="AH22" s="2188">
        <f>8.0274</f>
        <v>8.0274000000000001</v>
      </c>
      <c r="AI22" s="2205">
        <f>9.18273+1.96961+134.93286+68.8913+8.01911</f>
        <v>222.99561000000003</v>
      </c>
      <c r="AJ22" s="982">
        <f>AK22-AH22-AI22</f>
        <v>1383.6092800000001</v>
      </c>
      <c r="AK22" s="2187">
        <f>13.36731+47.63147+199.80427+77.43817+70.25165+1109.13344+86.08289+10.92309</f>
        <v>1614.63229</v>
      </c>
      <c r="AL22" s="2188">
        <f>48.79244+93.76754+1.1955+3.05259+2734.62989</f>
        <v>2881.4379600000002</v>
      </c>
      <c r="AM22" s="2186">
        <f>124.22737+76.37342+596.42051+172+1594.70961+76.95542+14.35822</f>
        <v>2655.0445500000005</v>
      </c>
      <c r="AN22" s="996">
        <f>AC22+AG22+AK22+AL22+AM22</f>
        <v>11670.990530000001</v>
      </c>
      <c r="AO22" s="1185">
        <f>'вспом. план'!AN22</f>
        <v>16324.223333333335</v>
      </c>
      <c r="AP22" s="1188">
        <f t="shared" si="2"/>
        <v>-4653.2328033333342</v>
      </c>
    </row>
    <row r="23" spans="1:42" s="230" customFormat="1">
      <c r="A23" s="2013" t="s">
        <v>72</v>
      </c>
      <c r="B23" s="2186">
        <v>34.100819999999999</v>
      </c>
      <c r="C23" s="982"/>
      <c r="D23" s="982"/>
      <c r="E23" s="982"/>
      <c r="F23" s="982"/>
      <c r="G23" s="983"/>
      <c r="H23" s="1646">
        <f t="shared" si="1"/>
        <v>0</v>
      </c>
      <c r="I23" s="2186">
        <v>574.5027</v>
      </c>
      <c r="J23" s="2188">
        <v>3582.1662999999999</v>
      </c>
      <c r="K23" s="2205">
        <v>300.65699000000001</v>
      </c>
      <c r="L23" s="2188">
        <v>19.084</v>
      </c>
      <c r="M23" s="1005">
        <f>SUM(J23:L23)</f>
        <v>3901.9072899999996</v>
      </c>
      <c r="N23" s="2188">
        <v>73.620339999999999</v>
      </c>
      <c r="O23" s="2205">
        <v>50.297640000000001</v>
      </c>
      <c r="P23" s="2204">
        <v>150.45264</v>
      </c>
      <c r="Q23" s="995">
        <f t="shared" si="4"/>
        <v>274.37062000000003</v>
      </c>
      <c r="R23" s="2188">
        <v>503.74097999999998</v>
      </c>
      <c r="S23" s="2205">
        <v>112.52544</v>
      </c>
      <c r="T23" s="2188">
        <v>114.81744</v>
      </c>
      <c r="U23" s="995">
        <f t="shared" si="5"/>
        <v>731.08385999999996</v>
      </c>
      <c r="V23" s="2188">
        <v>2708.8725399999998</v>
      </c>
      <c r="W23" s="2205">
        <v>508.14317999999997</v>
      </c>
      <c r="X23" s="983"/>
      <c r="Y23" s="995">
        <f t="shared" si="6"/>
        <v>3217.0157199999999</v>
      </c>
      <c r="Z23" s="2188">
        <v>178.58807999999999</v>
      </c>
      <c r="AA23" s="995"/>
      <c r="AB23" s="983"/>
      <c r="AC23" s="1005">
        <f>B23+H23+I23+M23+Q23+U23+Y23+Z23+AA23+AB23</f>
        <v>8911.5690899999991</v>
      </c>
      <c r="AD23" s="983"/>
      <c r="AE23" s="2205">
        <v>12290.36536</v>
      </c>
      <c r="AF23" s="2190">
        <v>3596.3991599999999</v>
      </c>
      <c r="AG23" s="995">
        <f>SUM(AD23:AF23)</f>
        <v>15886.764520000001</v>
      </c>
      <c r="AH23" s="2188">
        <v>518.71407999999997</v>
      </c>
      <c r="AI23" s="2205">
        <v>95.829899999999995</v>
      </c>
      <c r="AJ23" s="982">
        <f>AK23-AH23-AI23</f>
        <v>419.42496</v>
      </c>
      <c r="AK23" s="2187">
        <v>1033.96894</v>
      </c>
      <c r="AL23" s="2188">
        <v>88.774320000000003</v>
      </c>
      <c r="AM23" s="2186">
        <f>6.52176+485.90133</f>
        <v>492.42308999999995</v>
      </c>
      <c r="AN23" s="996">
        <f>AC23+AG23+AK23+AL23+AM23</f>
        <v>26413.499960000001</v>
      </c>
      <c r="AO23" s="1185">
        <f>'вспом. план'!AN23</f>
        <v>26629.527769999997</v>
      </c>
      <c r="AP23" s="1188">
        <f t="shared" si="2"/>
        <v>-216.02780999999595</v>
      </c>
    </row>
    <row r="24" spans="1:42" s="230" customFormat="1">
      <c r="A24" s="2013" t="s">
        <v>73</v>
      </c>
      <c r="B24" s="2186">
        <v>5762.2617499999997</v>
      </c>
      <c r="C24" s="982"/>
      <c r="D24" s="982"/>
      <c r="E24" s="982"/>
      <c r="F24" s="982"/>
      <c r="G24" s="983"/>
      <c r="H24" s="1646">
        <f t="shared" si="1"/>
        <v>0</v>
      </c>
      <c r="I24" s="2186">
        <f>4600.62227+493.66934</f>
        <v>5094.2916100000002</v>
      </c>
      <c r="J24" s="2188">
        <f>6023.36823+205.20346</f>
        <v>6228.5716899999998</v>
      </c>
      <c r="K24" s="2205">
        <f>432.33043+3.234</f>
        <v>435.56442999999996</v>
      </c>
      <c r="L24" s="2188">
        <f>376.09822+7.0497</f>
        <v>383.14792</v>
      </c>
      <c r="M24" s="1005">
        <f>SUM(J24:L24)</f>
        <v>7047.2840400000005</v>
      </c>
      <c r="N24" s="2188">
        <v>1677.5514499999999</v>
      </c>
      <c r="O24" s="2205">
        <v>856.70952999999997</v>
      </c>
      <c r="P24" s="982"/>
      <c r="Q24" s="995">
        <f t="shared" si="4"/>
        <v>2534.26098</v>
      </c>
      <c r="R24" s="2188">
        <v>910.89121999999998</v>
      </c>
      <c r="S24" s="985"/>
      <c r="T24" s="983"/>
      <c r="U24" s="995">
        <f t="shared" si="5"/>
        <v>910.89121999999998</v>
      </c>
      <c r="V24" s="2188">
        <v>257.31664000000001</v>
      </c>
      <c r="W24" s="985"/>
      <c r="X24" s="983"/>
      <c r="Y24" s="995">
        <f t="shared" si="6"/>
        <v>257.31664000000001</v>
      </c>
      <c r="Z24" s="2188">
        <v>939.86908000000005</v>
      </c>
      <c r="AA24" s="2220">
        <v>670.40614000000005</v>
      </c>
      <c r="AB24" s="2188">
        <v>411.74946</v>
      </c>
      <c r="AC24" s="1005">
        <f>B24+H24+I24+M24+Q24+U24+Y24+Z24+AA24+AB24</f>
        <v>23628.33092</v>
      </c>
      <c r="AD24" s="2188">
        <v>1256.3663200000001</v>
      </c>
      <c r="AE24" s="2205">
        <v>3274.5027300000002</v>
      </c>
      <c r="AF24" s="2190">
        <v>2227.2977299999998</v>
      </c>
      <c r="AG24" s="995">
        <f>SUM(AD24:AF24)</f>
        <v>6758.1667799999996</v>
      </c>
      <c r="AH24" s="2188">
        <v>1529.348669</v>
      </c>
      <c r="AI24" s="2205">
        <v>6332.4426100000001</v>
      </c>
      <c r="AJ24" s="982">
        <f>AK24-AH24-AI24</f>
        <v>16630.043951</v>
      </c>
      <c r="AK24" s="2187">
        <f>8.91646+112.82619+24370.09258</f>
        <v>24491.835230000001</v>
      </c>
      <c r="AL24" s="2188">
        <v>934.11977999999999</v>
      </c>
      <c r="AM24" s="2186">
        <v>19693.58065</v>
      </c>
      <c r="AN24" s="996">
        <f>AC24+AG24+AK24+AL24+AM24</f>
        <v>75506.033360000001</v>
      </c>
      <c r="AO24" s="1185">
        <f>'вспом. план'!AN24</f>
        <v>72002.7</v>
      </c>
      <c r="AP24" s="1188">
        <f t="shared" si="2"/>
        <v>3503.3333600000042</v>
      </c>
    </row>
    <row r="25" spans="1:42" s="230" customFormat="1">
      <c r="A25" s="2013" t="s">
        <v>74</v>
      </c>
      <c r="B25" s="2186">
        <f>68.96846+1783.63629</f>
        <v>1852.60475</v>
      </c>
      <c r="C25" s="982"/>
      <c r="D25" s="982"/>
      <c r="E25" s="982"/>
      <c r="F25" s="982"/>
      <c r="G25" s="983"/>
      <c r="H25" s="1646">
        <f t="shared" si="1"/>
        <v>0</v>
      </c>
      <c r="I25" s="2186">
        <f>59.24266+1481.06789</f>
        <v>1540.3105500000001</v>
      </c>
      <c r="J25" s="2188">
        <f>74.68396+1867.636</f>
        <v>1942.31996</v>
      </c>
      <c r="K25" s="2205">
        <f>5.14599+129.65882</f>
        <v>134.80481</v>
      </c>
      <c r="L25" s="2188">
        <f>4.5993+114.9412</f>
        <v>119.54049999999999</v>
      </c>
      <c r="M25" s="1005">
        <f>SUM(J25:L25)</f>
        <v>2196.66527</v>
      </c>
      <c r="N25" s="2188">
        <f>19.77727+494.43188</f>
        <v>514.20915000000002</v>
      </c>
      <c r="O25" s="2205">
        <f>10.20754+255.18888</f>
        <v>265.39642000000003</v>
      </c>
      <c r="P25" s="1077"/>
      <c r="Q25" s="995">
        <f t="shared" si="4"/>
        <v>779.60557000000006</v>
      </c>
      <c r="R25" s="2189">
        <f>9.34923+271.27727</f>
        <v>280.62649999999996</v>
      </c>
      <c r="S25" s="985"/>
      <c r="T25" s="983"/>
      <c r="U25" s="995">
        <f t="shared" si="5"/>
        <v>280.62649999999996</v>
      </c>
      <c r="V25" s="2189">
        <f>3.07855+76.96456</f>
        <v>80.043110000000013</v>
      </c>
      <c r="W25" s="985"/>
      <c r="X25" s="983"/>
      <c r="Y25" s="995">
        <f t="shared" si="6"/>
        <v>80.043110000000013</v>
      </c>
      <c r="Z25" s="2188">
        <f>11.24397+281.09809</f>
        <v>292.34206</v>
      </c>
      <c r="AA25" s="2220">
        <f>8.04495+201.12188</f>
        <v>209.16683</v>
      </c>
      <c r="AB25" s="2188">
        <f>4.94097+123.52492</f>
        <v>128.46589</v>
      </c>
      <c r="AC25" s="1005">
        <f>B25+H25+I25+M25+Q25+U25+Y25+Z25+AA25+AB25</f>
        <v>7359.8305300000002</v>
      </c>
      <c r="AD25" s="2188">
        <f>15.04365+376.09098</f>
        <v>391.13463000000002</v>
      </c>
      <c r="AE25" s="2205">
        <f>38.95222+961.29772</f>
        <v>1000.24994</v>
      </c>
      <c r="AF25" s="2190">
        <f>26.49638+660.29623</f>
        <v>686.79261000000008</v>
      </c>
      <c r="AG25" s="995">
        <f>SUM(AD25:AF25)</f>
        <v>2078.1771800000001</v>
      </c>
      <c r="AH25" s="2189">
        <f>18.22442+455.60962</f>
        <v>473.83404000000002</v>
      </c>
      <c r="AI25" s="2205">
        <f>74.36686+1882.69385</f>
        <v>1957.0607100000002</v>
      </c>
      <c r="AJ25" s="982">
        <f>AK25-AH25-AI25</f>
        <v>4952.7077700000009</v>
      </c>
      <c r="AK25" s="2187">
        <f>289.74802+7093.8545</f>
        <v>7383.6025200000004</v>
      </c>
      <c r="AL25" s="2189">
        <f>11.1458+278.64531</f>
        <v>289.79111</v>
      </c>
      <c r="AM25" s="2186">
        <f>232.02657+5864.46161</f>
        <v>6096.4881800000003</v>
      </c>
      <c r="AN25" s="996">
        <f>AC25+AG25+AK25+AL25+AM25</f>
        <v>23207.889519999997</v>
      </c>
      <c r="AO25" s="1185">
        <f>'вспом. план'!AN25</f>
        <v>22464.842400000001</v>
      </c>
      <c r="AP25" s="1188">
        <f t="shared" si="2"/>
        <v>743.04711999999563</v>
      </c>
    </row>
    <row r="26" spans="1:42" s="230" customFormat="1">
      <c r="A26" s="2013" t="s">
        <v>75</v>
      </c>
      <c r="B26" s="1005">
        <f t="shared" ref="B26" si="8">SUM(B27:B29)</f>
        <v>145.31957999999997</v>
      </c>
      <c r="C26" s="2005"/>
      <c r="D26" s="988"/>
      <c r="E26" s="988"/>
      <c r="F26" s="988"/>
      <c r="G26" s="2005"/>
      <c r="H26" s="2014">
        <f t="shared" ref="H26:AO26" si="9">SUM(H27:H29)</f>
        <v>0</v>
      </c>
      <c r="I26" s="1005">
        <f t="shared" si="9"/>
        <v>2530.2587899999999</v>
      </c>
      <c r="J26" s="2005">
        <f t="shared" si="9"/>
        <v>3195.96686</v>
      </c>
      <c r="K26" s="988">
        <f t="shared" si="9"/>
        <v>336.72029999999995</v>
      </c>
      <c r="L26" s="2005">
        <f t="shared" si="9"/>
        <v>75.00076</v>
      </c>
      <c r="M26" s="1005">
        <f t="shared" si="9"/>
        <v>3607.6879199999998</v>
      </c>
      <c r="N26" s="2005">
        <f t="shared" si="9"/>
        <v>514.37550999999996</v>
      </c>
      <c r="O26" s="988">
        <f>SUM(O27:O29)</f>
        <v>0</v>
      </c>
      <c r="P26" s="2005">
        <f t="shared" si="9"/>
        <v>0</v>
      </c>
      <c r="Q26" s="1005">
        <f t="shared" si="9"/>
        <v>514.37550999999996</v>
      </c>
      <c r="R26" s="2005">
        <f t="shared" si="9"/>
        <v>58.921109999999999</v>
      </c>
      <c r="S26" s="988">
        <f t="shared" si="9"/>
        <v>36.200000000000003</v>
      </c>
      <c r="T26" s="2005">
        <f t="shared" si="9"/>
        <v>10</v>
      </c>
      <c r="U26" s="1005">
        <f t="shared" si="9"/>
        <v>105.12111</v>
      </c>
      <c r="V26" s="2005">
        <f t="shared" si="9"/>
        <v>136.46199999999999</v>
      </c>
      <c r="W26" s="988">
        <f t="shared" si="9"/>
        <v>140.52625</v>
      </c>
      <c r="X26" s="2005">
        <f t="shared" si="9"/>
        <v>122.253</v>
      </c>
      <c r="Y26" s="1005">
        <f t="shared" si="9"/>
        <v>399.24124999999998</v>
      </c>
      <c r="Z26" s="2005">
        <f t="shared" si="9"/>
        <v>216.95788999999999</v>
      </c>
      <c r="AA26" s="1005">
        <f t="shared" si="9"/>
        <v>36.886949999999999</v>
      </c>
      <c r="AB26" s="2005">
        <f t="shared" si="9"/>
        <v>19.600000000000001</v>
      </c>
      <c r="AC26" s="1005">
        <f t="shared" si="9"/>
        <v>7575.4490000000005</v>
      </c>
      <c r="AD26" s="2005">
        <f t="shared" si="9"/>
        <v>0</v>
      </c>
      <c r="AE26" s="988">
        <f t="shared" si="9"/>
        <v>2376.2208700000001</v>
      </c>
      <c r="AF26" s="1006">
        <f t="shared" si="9"/>
        <v>3219.17614</v>
      </c>
      <c r="AG26" s="1005">
        <f t="shared" si="9"/>
        <v>5595.3970100000006</v>
      </c>
      <c r="AH26" s="2011">
        <f t="shared" si="9"/>
        <v>581.45240000000001</v>
      </c>
      <c r="AI26" s="1662">
        <f t="shared" si="9"/>
        <v>127.48156</v>
      </c>
      <c r="AJ26" s="1006">
        <f t="shared" si="9"/>
        <v>1359.8594000000001</v>
      </c>
      <c r="AK26" s="1005">
        <f t="shared" si="9"/>
        <v>2068.7933600000001</v>
      </c>
      <c r="AL26" s="2011">
        <f t="shared" si="9"/>
        <v>35.765009999999997</v>
      </c>
      <c r="AM26" s="1005">
        <f t="shared" si="9"/>
        <v>806.40583000000004</v>
      </c>
      <c r="AN26" s="1006">
        <f t="shared" si="9"/>
        <v>16081.81021</v>
      </c>
      <c r="AO26" s="1189">
        <f t="shared" si="9"/>
        <v>15224.065000000001</v>
      </c>
      <c r="AP26" s="1188">
        <f t="shared" si="2"/>
        <v>857.74520999999913</v>
      </c>
    </row>
    <row r="27" spans="1:42" s="230" customFormat="1">
      <c r="A27" s="2009" t="s">
        <v>76</v>
      </c>
      <c r="B27" s="2186">
        <f>106.50189+33.05269</f>
        <v>139.55457999999999</v>
      </c>
      <c r="C27" s="982"/>
      <c r="D27" s="982"/>
      <c r="E27" s="982"/>
      <c r="F27" s="982"/>
      <c r="G27" s="983"/>
      <c r="H27" s="1646">
        <f t="shared" si="1"/>
        <v>0</v>
      </c>
      <c r="I27" s="2186">
        <f>219.80389+5.90141+4.43474</f>
        <v>230.14004</v>
      </c>
      <c r="J27" s="2188">
        <f>177.72534+18.5831</f>
        <v>196.30843999999999</v>
      </c>
      <c r="K27" s="2205">
        <f>0.19+5.72945</f>
        <v>5.9194500000000003</v>
      </c>
      <c r="L27" s="983"/>
      <c r="M27" s="1005">
        <f>SUM(J27:L27)</f>
        <v>202.22789</v>
      </c>
      <c r="N27" s="2188">
        <f>40.83807+83.53744</f>
        <v>124.37551000000001</v>
      </c>
      <c r="O27" s="988"/>
      <c r="P27" s="2005"/>
      <c r="Q27" s="995">
        <f t="shared" si="4"/>
        <v>124.37551000000001</v>
      </c>
      <c r="R27" s="2188">
        <f>51.92111</f>
        <v>51.921109999999999</v>
      </c>
      <c r="S27" s="985"/>
      <c r="T27" s="2005"/>
      <c r="U27" s="995">
        <f t="shared" si="5"/>
        <v>51.921109999999999</v>
      </c>
      <c r="V27" s="2188">
        <f>124.574+11.888</f>
        <v>136.46199999999999</v>
      </c>
      <c r="W27" s="988"/>
      <c r="X27" s="2005"/>
      <c r="Y27" s="995">
        <f t="shared" si="6"/>
        <v>136.46199999999999</v>
      </c>
      <c r="Z27" s="2188">
        <f>72.32573+144.63216</f>
        <v>216.95788999999999</v>
      </c>
      <c r="AA27" s="2220">
        <f>34.72435+2.1626</f>
        <v>36.886949999999999</v>
      </c>
      <c r="AB27" s="2188">
        <v>19.600000000000001</v>
      </c>
      <c r="AC27" s="1005">
        <f>B27+H27+I27+M27+Q27+U27+Y27+Z27+AA27+AB27</f>
        <v>1158.1259699999998</v>
      </c>
      <c r="AD27" s="983"/>
      <c r="AE27" s="2205">
        <f>1384.52765+10.53112+475.3031</f>
        <v>1870.3618700000002</v>
      </c>
      <c r="AF27" s="2190">
        <f>1956.50822+434.86015+109.40566</f>
        <v>2500.77403</v>
      </c>
      <c r="AG27" s="995">
        <f>SUM(AD27:AF27)</f>
        <v>4371.1359000000002</v>
      </c>
      <c r="AH27" s="2188">
        <f>3.15294+0.54874</f>
        <v>3.7016800000000001</v>
      </c>
      <c r="AI27" s="2205">
        <f>26.36185+26.56943</f>
        <v>52.931280000000001</v>
      </c>
      <c r="AJ27" s="982">
        <f>AK27-AH27-AI27</f>
        <v>336.35302999999999</v>
      </c>
      <c r="AK27" s="2187">
        <f>235.71507+157.27092</f>
        <v>392.98599000000002</v>
      </c>
      <c r="AL27" s="2188">
        <f>34.34721+1.4178</f>
        <v>35.765009999999997</v>
      </c>
      <c r="AM27" s="2186">
        <f>552.90293+191.6779</f>
        <v>744.58082999999999</v>
      </c>
      <c r="AN27" s="996">
        <f>AC27+AG27+AK27+AL27+AM27</f>
        <v>6702.5937000000004</v>
      </c>
      <c r="AO27" s="1185">
        <f>'вспом. план'!AN27</f>
        <v>4674.1000000000004</v>
      </c>
      <c r="AP27" s="1188">
        <f t="shared" si="2"/>
        <v>2028.4937</v>
      </c>
    </row>
    <row r="28" spans="1:42" s="230" customFormat="1">
      <c r="A28" s="2009" t="s">
        <v>77</v>
      </c>
      <c r="B28" s="1005"/>
      <c r="C28" s="2010"/>
      <c r="D28" s="988"/>
      <c r="E28" s="988"/>
      <c r="F28" s="988"/>
      <c r="G28" s="2012"/>
      <c r="H28" s="1646">
        <f t="shared" si="1"/>
        <v>0</v>
      </c>
      <c r="I28" s="2186">
        <v>1849.5207499999999</v>
      </c>
      <c r="J28" s="2188">
        <v>1817.0152800000001</v>
      </c>
      <c r="K28" s="2205">
        <v>258.82506999999998</v>
      </c>
      <c r="L28" s="2188">
        <v>75.00076</v>
      </c>
      <c r="M28" s="1005">
        <f>SUM(J28:L28)</f>
        <v>2150.8411099999998</v>
      </c>
      <c r="N28" s="2005"/>
      <c r="O28" s="988"/>
      <c r="P28" s="2005"/>
      <c r="Q28" s="995">
        <f t="shared" si="4"/>
        <v>0</v>
      </c>
      <c r="R28" s="2005"/>
      <c r="S28" s="988"/>
      <c r="T28" s="2005"/>
      <c r="U28" s="995">
        <f t="shared" si="5"/>
        <v>0</v>
      </c>
      <c r="V28" s="2005"/>
      <c r="W28" s="988"/>
      <c r="X28" s="2005"/>
      <c r="Y28" s="995">
        <f t="shared" si="6"/>
        <v>0</v>
      </c>
      <c r="Z28" s="2005"/>
      <c r="AA28" s="995"/>
      <c r="AB28" s="2005"/>
      <c r="AC28" s="1005">
        <f>B28+H28+I28+M28+Q28+U28+Y28+Z28+AA28+AB28</f>
        <v>4000.36186</v>
      </c>
      <c r="AD28" s="2005"/>
      <c r="AE28" s="985"/>
      <c r="AF28" s="1077"/>
      <c r="AG28" s="995">
        <f>SUM(AD28:AF28)</f>
        <v>0</v>
      </c>
      <c r="AH28" s="2188">
        <v>111.82512</v>
      </c>
      <c r="AI28" s="2205">
        <v>74.550280000000001</v>
      </c>
      <c r="AJ28" s="982"/>
      <c r="AK28" s="2187">
        <f>SUM(AH28:AJ28)</f>
        <v>186.37540000000001</v>
      </c>
      <c r="AL28" s="2011"/>
      <c r="AM28" s="1005"/>
      <c r="AN28" s="996">
        <f>AC28+AG28+AK28+AL28+AM28</f>
        <v>4186.7372599999999</v>
      </c>
      <c r="AO28" s="1185">
        <f>'вспом. план'!AN28</f>
        <v>4964</v>
      </c>
      <c r="AP28" s="1188">
        <f t="shared" si="2"/>
        <v>-777.26274000000012</v>
      </c>
    </row>
    <row r="29" spans="1:42" s="230" customFormat="1" ht="16.5">
      <c r="A29" s="2015" t="s">
        <v>78</v>
      </c>
      <c r="B29" s="2187">
        <v>5.7649999999999997</v>
      </c>
      <c r="C29" s="2010"/>
      <c r="D29" s="988"/>
      <c r="E29" s="988"/>
      <c r="F29" s="988"/>
      <c r="G29" s="2012"/>
      <c r="H29" s="1646">
        <f t="shared" si="1"/>
        <v>0</v>
      </c>
      <c r="I29" s="2186">
        <v>450.59800000000001</v>
      </c>
      <c r="J29" s="2188">
        <v>1182.6431399999999</v>
      </c>
      <c r="K29" s="2205">
        <v>71.97578</v>
      </c>
      <c r="L29" s="983"/>
      <c r="M29" s="1005">
        <f>SUM(J29:L29)</f>
        <v>1254.6189199999999</v>
      </c>
      <c r="N29" s="2211">
        <v>390</v>
      </c>
      <c r="O29" s="988"/>
      <c r="P29" s="2005"/>
      <c r="Q29" s="995">
        <f t="shared" si="4"/>
        <v>390</v>
      </c>
      <c r="R29" s="2211">
        <v>7</v>
      </c>
      <c r="S29" s="2216">
        <v>36.200000000000003</v>
      </c>
      <c r="T29" s="2211">
        <v>10</v>
      </c>
      <c r="U29" s="995">
        <f t="shared" si="5"/>
        <v>53.2</v>
      </c>
      <c r="V29" s="2005"/>
      <c r="W29" s="2216">
        <v>140.52625</v>
      </c>
      <c r="X29" s="2211">
        <v>122.253</v>
      </c>
      <c r="Y29" s="995">
        <f t="shared" si="6"/>
        <v>262.77924999999999</v>
      </c>
      <c r="Z29" s="2005"/>
      <c r="AA29" s="995"/>
      <c r="AB29" s="2005"/>
      <c r="AC29" s="1005">
        <f>B29+H29+I29+M29+Q29+U29+Y29+Z29+AA29+AB29</f>
        <v>2416.96117</v>
      </c>
      <c r="AD29" s="2005"/>
      <c r="AE29" s="2205">
        <v>505.85899999999998</v>
      </c>
      <c r="AF29" s="2190">
        <v>718.40210999999999</v>
      </c>
      <c r="AG29" s="995">
        <f>SUM(AD29:AF29)</f>
        <v>1224.2611099999999</v>
      </c>
      <c r="AH29" s="2188">
        <f>382.12365+83.80195</f>
        <v>465.92560000000003</v>
      </c>
      <c r="AI29" s="985"/>
      <c r="AJ29" s="982">
        <f>AK29-AH29-AI29</f>
        <v>1023.5063700000001</v>
      </c>
      <c r="AK29" s="2187">
        <f>583.9844+686.765+218.68257</f>
        <v>1489.4319700000001</v>
      </c>
      <c r="AL29" s="2011"/>
      <c r="AM29" s="2186">
        <f>6.825+55</f>
        <v>61.825000000000003</v>
      </c>
      <c r="AN29" s="996">
        <f>AC29+AG29+AK29+AL29+AM29</f>
        <v>5192.4792499999994</v>
      </c>
      <c r="AO29" s="1185">
        <f>'вспом. план'!AN29</f>
        <v>5585.9650000000001</v>
      </c>
      <c r="AP29" s="1188">
        <f t="shared" si="2"/>
        <v>-393.48575000000073</v>
      </c>
    </row>
    <row r="30" spans="1:42" s="230" customFormat="1">
      <c r="A30" s="2013" t="s">
        <v>79</v>
      </c>
      <c r="B30" s="1005">
        <f t="shared" ref="B30:AO30" si="10">SUM(B31:B40)</f>
        <v>26.565000000000001</v>
      </c>
      <c r="C30" s="2010"/>
      <c r="D30" s="988"/>
      <c r="E30" s="988"/>
      <c r="F30" s="988"/>
      <c r="G30" s="2012"/>
      <c r="H30" s="2014">
        <f t="shared" si="10"/>
        <v>0</v>
      </c>
      <c r="I30" s="1005">
        <f t="shared" si="10"/>
        <v>109.27031000000001</v>
      </c>
      <c r="J30" s="2005">
        <f t="shared" si="10"/>
        <v>565.05729999999994</v>
      </c>
      <c r="K30" s="988">
        <f t="shared" si="10"/>
        <v>67.125590000000003</v>
      </c>
      <c r="L30" s="2005">
        <f t="shared" si="10"/>
        <v>30.619579999999999</v>
      </c>
      <c r="M30" s="1005">
        <f t="shared" si="10"/>
        <v>662.80246999999997</v>
      </c>
      <c r="N30" s="2005">
        <f t="shared" si="10"/>
        <v>119.62</v>
      </c>
      <c r="O30" s="988">
        <f t="shared" si="10"/>
        <v>49.088899999999995</v>
      </c>
      <c r="P30" s="2005">
        <f t="shared" si="10"/>
        <v>25</v>
      </c>
      <c r="Q30" s="1005">
        <f t="shared" si="10"/>
        <v>193.7089</v>
      </c>
      <c r="R30" s="2005">
        <f t="shared" si="10"/>
        <v>423.50284999999997</v>
      </c>
      <c r="S30" s="988">
        <f t="shared" si="10"/>
        <v>274.23259000000002</v>
      </c>
      <c r="T30" s="2005">
        <f t="shared" si="10"/>
        <v>67.391159999999999</v>
      </c>
      <c r="U30" s="1005">
        <f t="shared" si="10"/>
        <v>765.12659999999994</v>
      </c>
      <c r="V30" s="2005">
        <f t="shared" si="10"/>
        <v>511.54</v>
      </c>
      <c r="W30" s="988">
        <f t="shared" si="10"/>
        <v>470.59559999999999</v>
      </c>
      <c r="X30" s="2005">
        <f t="shared" si="10"/>
        <v>9.9</v>
      </c>
      <c r="Y30" s="1005">
        <f t="shared" si="10"/>
        <v>992.03560000000004</v>
      </c>
      <c r="Z30" s="2005">
        <f t="shared" si="10"/>
        <v>27.669039999999999</v>
      </c>
      <c r="AA30" s="1005">
        <f t="shared" si="10"/>
        <v>7.9061900000000005</v>
      </c>
      <c r="AB30" s="2005">
        <f t="shared" si="10"/>
        <v>1174.9099999999999</v>
      </c>
      <c r="AC30" s="1005">
        <f t="shared" si="10"/>
        <v>3959.9941100000001</v>
      </c>
      <c r="AD30" s="2005">
        <f t="shared" si="10"/>
        <v>16.862999999999996</v>
      </c>
      <c r="AE30" s="988">
        <f t="shared" si="10"/>
        <v>491.48124000000001</v>
      </c>
      <c r="AF30" s="1006">
        <f t="shared" si="10"/>
        <v>804.12399999999991</v>
      </c>
      <c r="AG30" s="1005">
        <f t="shared" si="10"/>
        <v>1312.4682399999999</v>
      </c>
      <c r="AH30" s="2011">
        <f t="shared" si="10"/>
        <v>126.17071999999999</v>
      </c>
      <c r="AI30" s="2016">
        <f t="shared" si="10"/>
        <v>65.152000000000001</v>
      </c>
      <c r="AJ30" s="1006">
        <f t="shared" si="10"/>
        <v>2577.4824200000003</v>
      </c>
      <c r="AK30" s="1005">
        <f t="shared" si="10"/>
        <v>2768.8051400000004</v>
      </c>
      <c r="AL30" s="2011">
        <f t="shared" si="10"/>
        <v>21.38072</v>
      </c>
      <c r="AM30" s="1005">
        <f t="shared" si="10"/>
        <v>12982.853229999999</v>
      </c>
      <c r="AN30" s="1006">
        <f t="shared" si="10"/>
        <v>21045.501439999996</v>
      </c>
      <c r="AO30" s="1189">
        <f t="shared" si="10"/>
        <v>34776.020479999999</v>
      </c>
      <c r="AP30" s="1188">
        <f t="shared" si="2"/>
        <v>-13730.519040000003</v>
      </c>
    </row>
    <row r="31" spans="1:42" s="230" customFormat="1">
      <c r="A31" s="2009" t="s">
        <v>524</v>
      </c>
      <c r="B31" s="2186">
        <f>21.405+3.45+1.71</f>
        <v>26.565000000000001</v>
      </c>
      <c r="C31" s="982"/>
      <c r="D31" s="982"/>
      <c r="E31" s="982"/>
      <c r="F31" s="982"/>
      <c r="G31" s="983"/>
      <c r="H31" s="1646">
        <f t="shared" si="1"/>
        <v>0</v>
      </c>
      <c r="I31" s="2186">
        <f>6.90496+4.05+34.05+0.21801+3.45+3.42+28.72734+7.05+7.65+13.75</f>
        <v>109.27031000000001</v>
      </c>
      <c r="J31" s="2188">
        <f>39.92377+4.05+59.76+0.2791+37.8+5.53957+0.76+209.15746+51.737+24.422+7.65+123.9784</f>
        <v>565.05729999999994</v>
      </c>
      <c r="K31" s="2205">
        <f>6.64153+12.34+7.2+20.71966+1.35+10.146+8.7284</f>
        <v>67.125590000000003</v>
      </c>
      <c r="L31" s="2188">
        <f>0.4+2.8+1.8+5.90176+0.19+18.37182+1.156</f>
        <v>30.619579999999999</v>
      </c>
      <c r="M31" s="1005">
        <f t="shared" ref="M31:M40" si="11">SUM(J31:L31)</f>
        <v>662.80246999999997</v>
      </c>
      <c r="N31" s="2188">
        <f>7+9.34+3.45+1.14+98.69</f>
        <v>119.62</v>
      </c>
      <c r="O31" s="2205">
        <f>1.25+3.45+0.38+44.0089</f>
        <v>49.088899999999995</v>
      </c>
      <c r="P31" s="2204">
        <v>25</v>
      </c>
      <c r="Q31" s="995">
        <f t="shared" si="4"/>
        <v>193.7089</v>
      </c>
      <c r="R31" s="2188">
        <f>334.30552+5.29+27+9.88464+0.57+8.5+35.33333</f>
        <v>420.88348999999999</v>
      </c>
      <c r="S31" s="2205">
        <f>52.85074+19+200.33333</f>
        <v>272.18407000000002</v>
      </c>
      <c r="T31" s="2188">
        <f>52.85074+13.33334</f>
        <v>66.184079999999994</v>
      </c>
      <c r="U31" s="995">
        <f t="shared" si="5"/>
        <v>759.25163999999995</v>
      </c>
      <c r="V31" s="2188">
        <f>1+3.45+9.9+0.19+497</f>
        <v>511.54</v>
      </c>
      <c r="W31" s="2205">
        <f>9.9+460.6956</f>
        <v>470.59559999999999</v>
      </c>
      <c r="X31" s="2188">
        <v>9.9</v>
      </c>
      <c r="Y31" s="995">
        <f t="shared" si="6"/>
        <v>992.03560000000004</v>
      </c>
      <c r="Z31" s="2188">
        <f>7.93+3.83276+14.4+0.76</f>
        <v>26.92276</v>
      </c>
      <c r="AA31" s="2220">
        <f>6.76+0.57619+0.57</f>
        <v>7.9061900000000005</v>
      </c>
      <c r="AB31" s="2188">
        <f>2.51+6.9+73.92+1091.58</f>
        <v>1174.9099999999999</v>
      </c>
      <c r="AC31" s="1005">
        <f t="shared" ref="AC31:AC40" si="12">B31+H31+I31+M31+Q31+U31+Y31+Z31+AA31+AB31</f>
        <v>3953.3728700000001</v>
      </c>
      <c r="AD31" s="2211">
        <f>16.33+0.38</f>
        <v>16.709999999999997</v>
      </c>
      <c r="AE31" s="2205">
        <f>147.189+266.00502+6.3+12+35.214+0.3376+3.45+0.57</f>
        <v>471.06562000000002</v>
      </c>
      <c r="AF31" s="2190">
        <f>11.16+66.541+8.665+84+552.9+1.6+2.8+0.19+8+5.4</f>
        <v>741.25599999999997</v>
      </c>
      <c r="AG31" s="995">
        <f t="shared" ref="AG31:AG40" si="13">SUM(AD31:AF31)</f>
        <v>1229.03162</v>
      </c>
      <c r="AH31" s="2188">
        <f>52.01792+9.95+9+0.38+33.7328+3.85+16.84+0.4</f>
        <v>126.17071999999999</v>
      </c>
      <c r="AI31" s="2205">
        <f>15.165+3.99+12.297+33.7</f>
        <v>65.152000000000001</v>
      </c>
      <c r="AJ31" s="982">
        <f>AK31-AH31-AI31</f>
        <v>2203.7579900000001</v>
      </c>
      <c r="AK31" s="2187">
        <f>52.01792+80+207.08238+35.3738+97.71+23+24.365+40.125+101.22+296.31875+9+10.36201+25.716+28.75+6.094+1.2+7.86+6.65+33.732+3.85+16.84+247.453+456.78416+143.05125+0.4+2.2+141.6+296.32544</f>
        <v>2395.0807100000002</v>
      </c>
      <c r="AL31" s="2188">
        <f>13.605+2.47572+3.7+1.6</f>
        <v>21.38072</v>
      </c>
      <c r="AM31" s="2186">
        <f>374.695+14.56+19.22808+13.85+108+1543.1502+656.19136+53.86+105.551+491.315+445.568+441.444+1.8+102+47.27097+3.15+440.40051+110.27409+125.42902+135+163.4386</f>
        <v>5396.1758300000001</v>
      </c>
      <c r="AN31" s="996">
        <f t="shared" ref="AN31:AN40" si="14">AC31+AG31+AK31+AL31+AM31</f>
        <v>12995.04175</v>
      </c>
      <c r="AO31" s="1185">
        <f>'вспом. план'!AN31</f>
        <v>25230.95</v>
      </c>
      <c r="AP31" s="1188">
        <f t="shared" si="2"/>
        <v>-12235.90825</v>
      </c>
    </row>
    <row r="32" spans="1:42" s="230" customFormat="1">
      <c r="A32" s="2017" t="s">
        <v>80</v>
      </c>
      <c r="B32" s="1005"/>
      <c r="C32" s="2010"/>
      <c r="D32" s="2010"/>
      <c r="E32" s="2010"/>
      <c r="F32" s="2010"/>
      <c r="G32" s="2005"/>
      <c r="H32" s="1646">
        <f t="shared" si="1"/>
        <v>0</v>
      </c>
      <c r="I32" s="1005"/>
      <c r="J32" s="2005"/>
      <c r="K32" s="988"/>
      <c r="L32" s="2005"/>
      <c r="M32" s="1005">
        <f t="shared" si="11"/>
        <v>0</v>
      </c>
      <c r="N32" s="2005"/>
      <c r="O32" s="988"/>
      <c r="P32" s="2005"/>
      <c r="Q32" s="995">
        <f t="shared" si="4"/>
        <v>0</v>
      </c>
      <c r="R32" s="2005"/>
      <c r="S32" s="988"/>
      <c r="T32" s="2005"/>
      <c r="U32" s="995">
        <f t="shared" si="5"/>
        <v>0</v>
      </c>
      <c r="V32" s="2005"/>
      <c r="W32" s="988"/>
      <c r="X32" s="2005"/>
      <c r="Y32" s="995">
        <f t="shared" si="6"/>
        <v>0</v>
      </c>
      <c r="Z32" s="2005"/>
      <c r="AA32" s="995"/>
      <c r="AB32" s="2005"/>
      <c r="AC32" s="1005">
        <f t="shared" si="12"/>
        <v>0</v>
      </c>
      <c r="AD32" s="2005"/>
      <c r="AE32" s="988"/>
      <c r="AF32" s="1006"/>
      <c r="AG32" s="995">
        <f t="shared" si="13"/>
        <v>0</v>
      </c>
      <c r="AH32" s="2005"/>
      <c r="AI32" s="985"/>
      <c r="AJ32" s="982"/>
      <c r="AK32" s="1005">
        <f t="shared" ref="AK32:AK40" si="15">SUM(AH32:AJ32)</f>
        <v>0</v>
      </c>
      <c r="AL32" s="983"/>
      <c r="AM32" s="981"/>
      <c r="AN32" s="996">
        <f t="shared" si="14"/>
        <v>0</v>
      </c>
      <c r="AO32" s="1185">
        <f>'вспом. план'!AN32</f>
        <v>0</v>
      </c>
      <c r="AP32" s="1188">
        <f t="shared" si="2"/>
        <v>0</v>
      </c>
    </row>
    <row r="33" spans="1:42" s="230" customFormat="1">
      <c r="A33" s="2017" t="s">
        <v>688</v>
      </c>
      <c r="B33" s="1005"/>
      <c r="C33" s="2010"/>
      <c r="D33" s="2010"/>
      <c r="E33" s="2010"/>
      <c r="F33" s="2010"/>
      <c r="G33" s="2005"/>
      <c r="H33" s="1646">
        <f t="shared" si="1"/>
        <v>0</v>
      </c>
      <c r="I33" s="1005"/>
      <c r="J33" s="2005"/>
      <c r="K33" s="988"/>
      <c r="L33" s="2005"/>
      <c r="M33" s="1005">
        <f t="shared" si="11"/>
        <v>0</v>
      </c>
      <c r="N33" s="2134"/>
      <c r="O33" s="988"/>
      <c r="P33" s="2005"/>
      <c r="Q33" s="995">
        <f t="shared" si="4"/>
        <v>0</v>
      </c>
      <c r="R33" s="2005"/>
      <c r="S33" s="988"/>
      <c r="T33" s="2005"/>
      <c r="U33" s="995">
        <f t="shared" si="5"/>
        <v>0</v>
      </c>
      <c r="V33" s="2005"/>
      <c r="W33" s="988"/>
      <c r="X33" s="2005"/>
      <c r="Y33" s="995">
        <f t="shared" si="6"/>
        <v>0</v>
      </c>
      <c r="Z33" s="2005"/>
      <c r="AA33" s="995"/>
      <c r="AB33" s="2005"/>
      <c r="AC33" s="1005">
        <f t="shared" si="12"/>
        <v>0</v>
      </c>
      <c r="AD33" s="2134">
        <v>0.153</v>
      </c>
      <c r="AE33" s="988"/>
      <c r="AF33" s="2204">
        <v>46.097999999999999</v>
      </c>
      <c r="AG33" s="995">
        <f t="shared" si="13"/>
        <v>46.250999999999998</v>
      </c>
      <c r="AH33" s="2005"/>
      <c r="AI33" s="985"/>
      <c r="AJ33" s="982"/>
      <c r="AK33" s="1005">
        <f t="shared" si="15"/>
        <v>0</v>
      </c>
      <c r="AL33" s="983"/>
      <c r="AM33" s="2186">
        <f>60.92836+93.6+3776.96421+22.8</f>
        <v>3954.2925700000001</v>
      </c>
      <c r="AN33" s="996">
        <f t="shared" si="14"/>
        <v>4000.5435700000003</v>
      </c>
      <c r="AO33" s="1185">
        <f>'вспом. план'!AN33</f>
        <v>4069.0704799999999</v>
      </c>
      <c r="AP33" s="1188">
        <f t="shared" si="2"/>
        <v>-68.526909999999589</v>
      </c>
    </row>
    <row r="34" spans="1:42" s="230" customFormat="1">
      <c r="A34" s="2015" t="s">
        <v>82</v>
      </c>
      <c r="B34" s="1005"/>
      <c r="C34" s="2010"/>
      <c r="D34" s="2010"/>
      <c r="E34" s="2010"/>
      <c r="F34" s="2010"/>
      <c r="G34" s="2005"/>
      <c r="H34" s="1646">
        <f t="shared" si="1"/>
        <v>0</v>
      </c>
      <c r="I34" s="1005"/>
      <c r="J34" s="2005"/>
      <c r="K34" s="988"/>
      <c r="L34" s="2005"/>
      <c r="M34" s="1005">
        <f t="shared" si="11"/>
        <v>0</v>
      </c>
      <c r="N34" s="2005"/>
      <c r="O34" s="988"/>
      <c r="P34" s="2005"/>
      <c r="Q34" s="995">
        <f t="shared" si="4"/>
        <v>0</v>
      </c>
      <c r="R34" s="2005"/>
      <c r="S34" s="988"/>
      <c r="T34" s="2005"/>
      <c r="U34" s="995">
        <f t="shared" si="5"/>
        <v>0</v>
      </c>
      <c r="V34" s="2005"/>
      <c r="W34" s="988"/>
      <c r="X34" s="2005"/>
      <c r="Y34" s="995">
        <f t="shared" si="6"/>
        <v>0</v>
      </c>
      <c r="Z34" s="2005"/>
      <c r="AA34" s="995"/>
      <c r="AB34" s="2005"/>
      <c r="AC34" s="1005">
        <f t="shared" si="12"/>
        <v>0</v>
      </c>
      <c r="AD34" s="2005"/>
      <c r="AE34" s="988"/>
      <c r="AF34" s="1006"/>
      <c r="AG34" s="995">
        <f t="shared" si="13"/>
        <v>0</v>
      </c>
      <c r="AH34" s="2005"/>
      <c r="AI34" s="985"/>
      <c r="AJ34" s="982">
        <f>AK34-AH34-AI34</f>
        <v>46.31859</v>
      </c>
      <c r="AK34" s="2187">
        <v>46.31859</v>
      </c>
      <c r="AL34" s="983"/>
      <c r="AM34" s="981"/>
      <c r="AN34" s="996">
        <f t="shared" si="14"/>
        <v>46.31859</v>
      </c>
      <c r="AO34" s="1185">
        <f>'вспом. план'!AN34</f>
        <v>54</v>
      </c>
      <c r="AP34" s="1188">
        <f t="shared" si="2"/>
        <v>-7.6814099999999996</v>
      </c>
    </row>
    <row r="35" spans="1:42" s="230" customFormat="1">
      <c r="A35" s="2015" t="s">
        <v>83</v>
      </c>
      <c r="B35" s="1005"/>
      <c r="C35" s="2010"/>
      <c r="D35" s="2010"/>
      <c r="E35" s="2010"/>
      <c r="F35" s="2010"/>
      <c r="G35" s="2005"/>
      <c r="H35" s="1646">
        <f t="shared" si="1"/>
        <v>0</v>
      </c>
      <c r="I35" s="1005"/>
      <c r="J35" s="983"/>
      <c r="K35" s="988"/>
      <c r="L35" s="2005"/>
      <c r="M35" s="1005">
        <f t="shared" si="11"/>
        <v>0</v>
      </c>
      <c r="N35" s="2005"/>
      <c r="O35" s="988"/>
      <c r="P35" s="2005"/>
      <c r="Q35" s="995">
        <f t="shared" si="4"/>
        <v>0</v>
      </c>
      <c r="R35" s="2005"/>
      <c r="S35" s="988"/>
      <c r="T35" s="2005"/>
      <c r="U35" s="995">
        <f t="shared" si="5"/>
        <v>0</v>
      </c>
      <c r="V35" s="2005"/>
      <c r="W35" s="988"/>
      <c r="X35" s="2005"/>
      <c r="Y35" s="995">
        <f t="shared" si="6"/>
        <v>0</v>
      </c>
      <c r="Z35" s="2005"/>
      <c r="AA35" s="995"/>
      <c r="AB35" s="2005"/>
      <c r="AC35" s="1005">
        <f t="shared" si="12"/>
        <v>0</v>
      </c>
      <c r="AD35" s="2005"/>
      <c r="AE35" s="2205">
        <v>20.415620000000001</v>
      </c>
      <c r="AF35" s="2225">
        <v>12.72</v>
      </c>
      <c r="AG35" s="995">
        <f t="shared" si="13"/>
        <v>33.135620000000003</v>
      </c>
      <c r="AH35" s="2005"/>
      <c r="AI35" s="985"/>
      <c r="AJ35" s="982">
        <f>AK35-AH35-AI35</f>
        <v>9.4</v>
      </c>
      <c r="AK35" s="2187">
        <v>9.4</v>
      </c>
      <c r="AL35" s="983"/>
      <c r="AM35" s="981"/>
      <c r="AN35" s="996">
        <f t="shared" si="14"/>
        <v>42.535620000000002</v>
      </c>
      <c r="AO35" s="1185">
        <f>'вспом. план'!AN35</f>
        <v>378</v>
      </c>
      <c r="AP35" s="1188">
        <f t="shared" si="2"/>
        <v>-335.46438000000001</v>
      </c>
    </row>
    <row r="36" spans="1:42" s="230" customFormat="1" ht="16.5">
      <c r="A36" s="2015" t="s">
        <v>84</v>
      </c>
      <c r="B36" s="1005"/>
      <c r="C36" s="2010"/>
      <c r="D36" s="2010"/>
      <c r="E36" s="2010"/>
      <c r="F36" s="2010"/>
      <c r="G36" s="2005"/>
      <c r="H36" s="1646">
        <f t="shared" si="1"/>
        <v>0</v>
      </c>
      <c r="I36" s="1005"/>
      <c r="J36" s="2005"/>
      <c r="K36" s="988"/>
      <c r="L36" s="2005"/>
      <c r="M36" s="1005">
        <f t="shared" si="11"/>
        <v>0</v>
      </c>
      <c r="N36" s="2005"/>
      <c r="O36" s="988"/>
      <c r="P36" s="2005"/>
      <c r="Q36" s="995">
        <f t="shared" si="4"/>
        <v>0</v>
      </c>
      <c r="R36" s="2005"/>
      <c r="S36" s="988"/>
      <c r="T36" s="2005"/>
      <c r="U36" s="995">
        <f t="shared" si="5"/>
        <v>0</v>
      </c>
      <c r="V36" s="2005"/>
      <c r="W36" s="988"/>
      <c r="X36" s="2005"/>
      <c r="Y36" s="995">
        <f t="shared" si="6"/>
        <v>0</v>
      </c>
      <c r="Z36" s="2005"/>
      <c r="AA36" s="995"/>
      <c r="AB36" s="2005"/>
      <c r="AC36" s="1005">
        <f t="shared" si="12"/>
        <v>0</v>
      </c>
      <c r="AD36" s="2005"/>
      <c r="AE36" s="988"/>
      <c r="AF36" s="1006"/>
      <c r="AG36" s="995">
        <f t="shared" si="13"/>
        <v>0</v>
      </c>
      <c r="AH36" s="2005"/>
      <c r="AI36" s="985"/>
      <c r="AJ36" s="982"/>
      <c r="AK36" s="1005">
        <f t="shared" si="15"/>
        <v>0</v>
      </c>
      <c r="AL36" s="983"/>
      <c r="AM36" s="2107">
        <v>1014.40369</v>
      </c>
      <c r="AN36" s="996">
        <f t="shared" si="14"/>
        <v>1014.40369</v>
      </c>
      <c r="AO36" s="1185">
        <f>'вспом. план'!AN36</f>
        <v>888</v>
      </c>
      <c r="AP36" s="1188">
        <f t="shared" si="2"/>
        <v>126.40368999999998</v>
      </c>
    </row>
    <row r="37" spans="1:42" s="230" customFormat="1">
      <c r="A37" s="2017" t="s">
        <v>85</v>
      </c>
      <c r="B37" s="1005"/>
      <c r="C37" s="2010"/>
      <c r="D37" s="2010"/>
      <c r="E37" s="2010"/>
      <c r="F37" s="2010"/>
      <c r="G37" s="2005"/>
      <c r="H37" s="1646">
        <f t="shared" si="1"/>
        <v>0</v>
      </c>
      <c r="I37" s="1005"/>
      <c r="J37" s="2005"/>
      <c r="K37" s="988"/>
      <c r="L37" s="2005"/>
      <c r="M37" s="1005">
        <f t="shared" si="11"/>
        <v>0</v>
      </c>
      <c r="N37" s="2005"/>
      <c r="O37" s="988"/>
      <c r="P37" s="2005"/>
      <c r="Q37" s="995">
        <f t="shared" si="4"/>
        <v>0</v>
      </c>
      <c r="R37" s="2005"/>
      <c r="S37" s="988"/>
      <c r="T37" s="2005"/>
      <c r="U37" s="995">
        <f t="shared" si="5"/>
        <v>0</v>
      </c>
      <c r="V37" s="2005"/>
      <c r="W37" s="988"/>
      <c r="X37" s="2005"/>
      <c r="Y37" s="995">
        <f t="shared" si="6"/>
        <v>0</v>
      </c>
      <c r="Z37" s="2005"/>
      <c r="AA37" s="995"/>
      <c r="AB37" s="2005"/>
      <c r="AC37" s="1005">
        <f t="shared" si="12"/>
        <v>0</v>
      </c>
      <c r="AD37" s="2005"/>
      <c r="AE37" s="988"/>
      <c r="AF37" s="1006"/>
      <c r="AG37" s="995">
        <f t="shared" si="13"/>
        <v>0</v>
      </c>
      <c r="AH37" s="2005"/>
      <c r="AI37" s="985"/>
      <c r="AJ37" s="2204">
        <f>22.256+232.54284+14.28</f>
        <v>269.07884000000001</v>
      </c>
      <c r="AK37" s="2187">
        <f t="shared" si="15"/>
        <v>269.07884000000001</v>
      </c>
      <c r="AL37" s="983"/>
      <c r="AM37" s="981"/>
      <c r="AN37" s="996">
        <f t="shared" si="14"/>
        <v>269.07884000000001</v>
      </c>
      <c r="AO37" s="1185">
        <f>'вспом. план'!AN37</f>
        <v>213</v>
      </c>
      <c r="AP37" s="1188">
        <f t="shared" si="2"/>
        <v>56.078840000000014</v>
      </c>
    </row>
    <row r="38" spans="1:42" s="226" customFormat="1">
      <c r="A38" s="2018" t="s">
        <v>86</v>
      </c>
      <c r="B38" s="981"/>
      <c r="C38" s="982"/>
      <c r="D38" s="982"/>
      <c r="E38" s="982"/>
      <c r="F38" s="982"/>
      <c r="G38" s="983"/>
      <c r="H38" s="1660">
        <f t="shared" si="1"/>
        <v>0</v>
      </c>
      <c r="I38" s="981"/>
      <c r="J38" s="983"/>
      <c r="K38" s="985"/>
      <c r="L38" s="983"/>
      <c r="M38" s="981">
        <f t="shared" si="11"/>
        <v>0</v>
      </c>
      <c r="N38" s="983"/>
      <c r="O38" s="985"/>
      <c r="P38" s="983"/>
      <c r="Q38" s="991">
        <f t="shared" si="4"/>
        <v>0</v>
      </c>
      <c r="R38" s="983"/>
      <c r="S38" s="985"/>
      <c r="T38" s="983"/>
      <c r="U38" s="991">
        <f t="shared" si="5"/>
        <v>0</v>
      </c>
      <c r="V38" s="983"/>
      <c r="W38" s="985"/>
      <c r="X38" s="983"/>
      <c r="Y38" s="991">
        <f t="shared" si="6"/>
        <v>0</v>
      </c>
      <c r="Z38" s="983"/>
      <c r="AA38" s="991"/>
      <c r="AB38" s="983"/>
      <c r="AC38" s="981">
        <f t="shared" si="12"/>
        <v>0</v>
      </c>
      <c r="AD38" s="983"/>
      <c r="AE38" s="985"/>
      <c r="AF38" s="1077"/>
      <c r="AG38" s="991">
        <f t="shared" si="13"/>
        <v>0</v>
      </c>
      <c r="AH38" s="983"/>
      <c r="AI38" s="985"/>
      <c r="AJ38" s="982"/>
      <c r="AK38" s="981">
        <f t="shared" si="15"/>
        <v>0</v>
      </c>
      <c r="AL38" s="983"/>
      <c r="AM38" s="2186">
        <f>108.45671+44.2+307.69867+2155.71749</f>
        <v>2616.07287</v>
      </c>
      <c r="AN38" s="990">
        <f t="shared" si="14"/>
        <v>2616.07287</v>
      </c>
      <c r="AO38" s="1185">
        <f>'вспом. план'!AN38</f>
        <v>3843</v>
      </c>
      <c r="AP38" s="1188">
        <f t="shared" si="2"/>
        <v>-1226.92713</v>
      </c>
    </row>
    <row r="39" spans="1:42" s="226" customFormat="1">
      <c r="A39" s="2018" t="s">
        <v>87</v>
      </c>
      <c r="B39" s="981"/>
      <c r="C39" s="982"/>
      <c r="D39" s="982"/>
      <c r="E39" s="982"/>
      <c r="F39" s="982"/>
      <c r="G39" s="983"/>
      <c r="H39" s="1660">
        <f t="shared" si="1"/>
        <v>0</v>
      </c>
      <c r="I39" s="981"/>
      <c r="J39" s="983"/>
      <c r="K39" s="985"/>
      <c r="L39" s="983"/>
      <c r="M39" s="981">
        <f t="shared" si="11"/>
        <v>0</v>
      </c>
      <c r="N39" s="983"/>
      <c r="O39" s="985"/>
      <c r="P39" s="983"/>
      <c r="Q39" s="991">
        <f t="shared" si="4"/>
        <v>0</v>
      </c>
      <c r="R39" s="983"/>
      <c r="S39" s="985"/>
      <c r="T39" s="983"/>
      <c r="U39" s="991">
        <f t="shared" si="5"/>
        <v>0</v>
      </c>
      <c r="V39" s="983"/>
      <c r="W39" s="985"/>
      <c r="X39" s="983"/>
      <c r="Y39" s="991">
        <f t="shared" si="6"/>
        <v>0</v>
      </c>
      <c r="Z39" s="983"/>
      <c r="AA39" s="991"/>
      <c r="AB39" s="983"/>
      <c r="AC39" s="981">
        <f t="shared" si="12"/>
        <v>0</v>
      </c>
      <c r="AD39" s="983"/>
      <c r="AE39" s="985"/>
      <c r="AF39" s="1077"/>
      <c r="AG39" s="991">
        <f t="shared" si="13"/>
        <v>0</v>
      </c>
      <c r="AH39" s="983"/>
      <c r="AI39" s="985"/>
      <c r="AJ39" s="982"/>
      <c r="AK39" s="981">
        <f t="shared" si="15"/>
        <v>0</v>
      </c>
      <c r="AL39" s="983"/>
      <c r="AM39" s="981"/>
      <c r="AN39" s="990">
        <f t="shared" si="14"/>
        <v>0</v>
      </c>
      <c r="AO39" s="1185">
        <f>'вспом. план'!AN39</f>
        <v>0</v>
      </c>
      <c r="AP39" s="1188">
        <f t="shared" si="2"/>
        <v>0</v>
      </c>
    </row>
    <row r="40" spans="1:42" s="228" customFormat="1" ht="10.5" thickBot="1">
      <c r="A40" s="2018" t="s">
        <v>88</v>
      </c>
      <c r="B40" s="981"/>
      <c r="C40" s="1000"/>
      <c r="D40" s="1000"/>
      <c r="E40" s="1000"/>
      <c r="F40" s="1000"/>
      <c r="G40" s="1001"/>
      <c r="H40" s="2019">
        <f t="shared" si="1"/>
        <v>0</v>
      </c>
      <c r="I40" s="981"/>
      <c r="J40" s="1001"/>
      <c r="K40" s="1663"/>
      <c r="L40" s="1001"/>
      <c r="M40" s="1081">
        <f t="shared" si="11"/>
        <v>0</v>
      </c>
      <c r="N40" s="1001"/>
      <c r="O40" s="1663"/>
      <c r="P40" s="2020"/>
      <c r="Q40" s="1074">
        <f t="shared" si="4"/>
        <v>0</v>
      </c>
      <c r="R40" s="2189">
        <v>2.6193599999999999</v>
      </c>
      <c r="S40" s="2217">
        <v>2.0485199999999999</v>
      </c>
      <c r="T40" s="2215">
        <v>1.2070799999999999</v>
      </c>
      <c r="U40" s="1074">
        <f t="shared" si="5"/>
        <v>5.8749599999999997</v>
      </c>
      <c r="V40" s="1001"/>
      <c r="W40" s="1663"/>
      <c r="X40" s="1001"/>
      <c r="Y40" s="1074">
        <f t="shared" si="6"/>
        <v>0</v>
      </c>
      <c r="Z40" s="2215">
        <v>0.74628000000000005</v>
      </c>
      <c r="AA40" s="1074"/>
      <c r="AB40" s="1001"/>
      <c r="AC40" s="981">
        <f t="shared" si="12"/>
        <v>6.6212400000000002</v>
      </c>
      <c r="AD40" s="1001"/>
      <c r="AE40" s="1663"/>
      <c r="AF40" s="2224">
        <v>4.05</v>
      </c>
      <c r="AG40" s="991">
        <f t="shared" si="13"/>
        <v>4.05</v>
      </c>
      <c r="AH40" s="1001"/>
      <c r="AI40" s="985"/>
      <c r="AJ40" s="2204">
        <v>48.927</v>
      </c>
      <c r="AK40" s="2186">
        <f t="shared" si="15"/>
        <v>48.927</v>
      </c>
      <c r="AL40" s="983"/>
      <c r="AM40" s="2186">
        <v>1.9082699999999999</v>
      </c>
      <c r="AN40" s="2021">
        <f t="shared" si="14"/>
        <v>61.506510000000006</v>
      </c>
      <c r="AO40" s="1185">
        <f>'вспом. план'!AN40</f>
        <v>100</v>
      </c>
      <c r="AP40" s="1190">
        <f t="shared" si="2"/>
        <v>-38.493489999999994</v>
      </c>
    </row>
    <row r="41" spans="1:42" s="226" customFormat="1" ht="10.5" thickBot="1">
      <c r="A41" s="2022" t="s">
        <v>18</v>
      </c>
      <c r="B41" s="2023">
        <f t="shared" ref="B41:AN41" si="16">B5+B23+B24+B25+B26+B30</f>
        <v>7994.2611799999995</v>
      </c>
      <c r="C41" s="2024">
        <f t="shared" si="16"/>
        <v>0</v>
      </c>
      <c r="D41" s="2025">
        <f t="shared" si="16"/>
        <v>0</v>
      </c>
      <c r="E41" s="2025">
        <f t="shared" si="16"/>
        <v>0</v>
      </c>
      <c r="F41" s="2025">
        <f t="shared" si="16"/>
        <v>0</v>
      </c>
      <c r="G41" s="2026">
        <f t="shared" si="16"/>
        <v>0</v>
      </c>
      <c r="H41" s="2027">
        <f t="shared" si="16"/>
        <v>0</v>
      </c>
      <c r="I41" s="2023">
        <f t="shared" si="16"/>
        <v>15787.221329999998</v>
      </c>
      <c r="J41" s="2027">
        <f t="shared" si="16"/>
        <v>21370.042660000003</v>
      </c>
      <c r="K41" s="2025">
        <f t="shared" si="16"/>
        <v>2460.2319400000001</v>
      </c>
      <c r="L41" s="2028">
        <f t="shared" si="16"/>
        <v>891.35408000000007</v>
      </c>
      <c r="M41" s="2023">
        <f t="shared" si="16"/>
        <v>24721.628679999998</v>
      </c>
      <c r="N41" s="2028">
        <f t="shared" si="16"/>
        <v>29007.11159</v>
      </c>
      <c r="O41" s="2025">
        <f t="shared" si="16"/>
        <v>7263.9677999999994</v>
      </c>
      <c r="P41" s="2026">
        <f t="shared" si="16"/>
        <v>5489.9044700000004</v>
      </c>
      <c r="Q41" s="2023">
        <f t="shared" si="16"/>
        <v>41760.983859999993</v>
      </c>
      <c r="R41" s="2028">
        <f t="shared" si="16"/>
        <v>2220.0644200000002</v>
      </c>
      <c r="S41" s="2025">
        <f t="shared" si="16"/>
        <v>422.95803000000001</v>
      </c>
      <c r="T41" s="2028">
        <f t="shared" si="16"/>
        <v>192.20859999999999</v>
      </c>
      <c r="U41" s="2023">
        <f t="shared" si="16"/>
        <v>2835.2310499999999</v>
      </c>
      <c r="V41" s="2028">
        <f t="shared" si="16"/>
        <v>11379.267689999999</v>
      </c>
      <c r="W41" s="2025">
        <f t="shared" si="16"/>
        <v>2767.1977400000001</v>
      </c>
      <c r="X41" s="2028">
        <f t="shared" si="16"/>
        <v>1052.9095500000001</v>
      </c>
      <c r="Y41" s="2023">
        <f t="shared" si="16"/>
        <v>15199.374979999999</v>
      </c>
      <c r="Z41" s="2028">
        <f t="shared" si="16"/>
        <v>1917.6416599999998</v>
      </c>
      <c r="AA41" s="2023">
        <f t="shared" si="16"/>
        <v>1010.82752</v>
      </c>
      <c r="AB41" s="2028">
        <f t="shared" si="16"/>
        <v>2025.3377499999997</v>
      </c>
      <c r="AC41" s="2023">
        <f>AC5+AC23+AC24+AC25+AC26+AC30</f>
        <v>113252.50800999999</v>
      </c>
      <c r="AD41" s="2028">
        <f t="shared" si="16"/>
        <v>1664.3639500000002</v>
      </c>
      <c r="AE41" s="2025">
        <f t="shared" si="16"/>
        <v>21078.220760000004</v>
      </c>
      <c r="AF41" s="2029">
        <f t="shared" si="16"/>
        <v>12380.264789999999</v>
      </c>
      <c r="AG41" s="2023">
        <f t="shared" si="16"/>
        <v>35122.849499999997</v>
      </c>
      <c r="AH41" s="2030">
        <f t="shared" si="16"/>
        <v>4193.8275590000003</v>
      </c>
      <c r="AI41" s="2025">
        <f t="shared" si="16"/>
        <v>8967.1552499999998</v>
      </c>
      <c r="AJ41" s="2031">
        <f t="shared" si="16"/>
        <v>27323.832881000002</v>
      </c>
      <c r="AK41" s="2023">
        <f t="shared" si="16"/>
        <v>40484.815690000003</v>
      </c>
      <c r="AL41" s="2027">
        <f t="shared" si="16"/>
        <v>4251.2689</v>
      </c>
      <c r="AM41" s="2023">
        <f t="shared" si="16"/>
        <v>45015.082170000001</v>
      </c>
      <c r="AN41" s="2029">
        <f t="shared" si="16"/>
        <v>238126.52426999997</v>
      </c>
      <c r="AO41" s="2029">
        <f>AO5+AO23+AO24+AO25+AO26+AO30</f>
        <v>259449.74580466666</v>
      </c>
      <c r="AP41" s="2029">
        <f t="shared" si="2"/>
        <v>-21323.221534666693</v>
      </c>
    </row>
    <row r="42" spans="1:42" s="226" customFormat="1" ht="10.5" thickBot="1">
      <c r="A42" s="2032" t="s">
        <v>381</v>
      </c>
      <c r="B42" s="2033">
        <f t="shared" ref="B42:AG42" si="17">SUM(B43:B52)</f>
        <v>1060.6596400000001</v>
      </c>
      <c r="C42" s="2034">
        <f t="shared" si="17"/>
        <v>0</v>
      </c>
      <c r="D42" s="2035">
        <f t="shared" si="17"/>
        <v>0</v>
      </c>
      <c r="E42" s="2035">
        <f t="shared" si="17"/>
        <v>0</v>
      </c>
      <c r="F42" s="2035">
        <f t="shared" si="17"/>
        <v>0</v>
      </c>
      <c r="G42" s="2035">
        <f t="shared" si="17"/>
        <v>0</v>
      </c>
      <c r="H42" s="2036">
        <f t="shared" si="17"/>
        <v>0</v>
      </c>
      <c r="I42" s="2033">
        <f t="shared" si="17"/>
        <v>2187.78775</v>
      </c>
      <c r="J42" s="2036">
        <f>SUM(J43:J52)</f>
        <v>2163.2492900000002</v>
      </c>
      <c r="K42" s="2037">
        <f t="shared" si="17"/>
        <v>0</v>
      </c>
      <c r="L42" s="2034">
        <f t="shared" si="17"/>
        <v>19.9041</v>
      </c>
      <c r="M42" s="2033">
        <f t="shared" si="17"/>
        <v>2183.1533899999999</v>
      </c>
      <c r="N42" s="2034">
        <f t="shared" si="17"/>
        <v>3009.5879300000001</v>
      </c>
      <c r="O42" s="2035">
        <f t="shared" si="17"/>
        <v>0</v>
      </c>
      <c r="P42" s="2035">
        <f t="shared" si="17"/>
        <v>0</v>
      </c>
      <c r="Q42" s="2033">
        <f t="shared" si="17"/>
        <v>3009.5879300000001</v>
      </c>
      <c r="R42" s="2034">
        <f t="shared" si="17"/>
        <v>1492.4396199999996</v>
      </c>
      <c r="S42" s="2037">
        <f t="shared" si="17"/>
        <v>35.734000000000002</v>
      </c>
      <c r="T42" s="2034">
        <f t="shared" si="17"/>
        <v>5.34</v>
      </c>
      <c r="U42" s="2033">
        <f t="shared" si="17"/>
        <v>1533.5136199999997</v>
      </c>
      <c r="V42" s="2034">
        <f t="shared" si="17"/>
        <v>719.21582999999998</v>
      </c>
      <c r="W42" s="2037">
        <f t="shared" si="17"/>
        <v>4.1196000000000002</v>
      </c>
      <c r="X42" s="2034">
        <f t="shared" si="17"/>
        <v>0</v>
      </c>
      <c r="Y42" s="2033">
        <f t="shared" si="17"/>
        <v>723.33542999999997</v>
      </c>
      <c r="Z42" s="2034">
        <f t="shared" si="17"/>
        <v>1314.1368499999999</v>
      </c>
      <c r="AA42" s="2033">
        <f t="shared" si="17"/>
        <v>75.856999999999999</v>
      </c>
      <c r="AB42" s="2034">
        <f t="shared" si="17"/>
        <v>2144.5026200000002</v>
      </c>
      <c r="AC42" s="2033">
        <f t="shared" si="17"/>
        <v>14232.534230000001</v>
      </c>
      <c r="AD42" s="2034">
        <f t="shared" si="17"/>
        <v>5427.6031899999998</v>
      </c>
      <c r="AE42" s="2037">
        <f t="shared" si="17"/>
        <v>1502.4993000000002</v>
      </c>
      <c r="AF42" s="2038">
        <f t="shared" si="17"/>
        <v>2272.2212600000003</v>
      </c>
      <c r="AG42" s="2033">
        <f t="shared" si="17"/>
        <v>9202.3237499999996</v>
      </c>
      <c r="AH42" s="2039"/>
      <c r="AI42" s="2040"/>
      <c r="AJ42" s="2041"/>
      <c r="AK42" s="2038">
        <f>SUM(AK43:AK52)</f>
        <v>8240.705179999999</v>
      </c>
      <c r="AL42" s="2036">
        <f>SUM(AL43:AL52)</f>
        <v>864.02564000000007</v>
      </c>
      <c r="AM42" s="2033">
        <f>SUM(AM43:AM52)</f>
        <v>4441.1844799999999</v>
      </c>
      <c r="AN42" s="2038">
        <f>SUM(AN43:AN52)</f>
        <v>36980.773279999994</v>
      </c>
      <c r="AO42" s="2038">
        <f t="shared" ref="AO42" si="18">SUM(AO43:AO52)</f>
        <v>37033.545217670639</v>
      </c>
      <c r="AP42" s="2038">
        <f t="shared" si="2"/>
        <v>-52.771937670644547</v>
      </c>
    </row>
    <row r="43" spans="1:42" s="226" customFormat="1">
      <c r="A43" s="1083" t="s">
        <v>382</v>
      </c>
      <c r="B43" s="995">
        <f>B91</f>
        <v>0</v>
      </c>
      <c r="C43" s="2042"/>
      <c r="D43" s="2042"/>
      <c r="E43" s="2042"/>
      <c r="F43" s="2042"/>
      <c r="G43" s="987"/>
      <c r="H43" s="1646">
        <f>B97</f>
        <v>0</v>
      </c>
      <c r="I43" s="995">
        <f>B98</f>
        <v>1097.9309699999999</v>
      </c>
      <c r="J43" s="987">
        <f>B99</f>
        <v>1552.7055700000001</v>
      </c>
      <c r="K43" s="2016">
        <f>B100</f>
        <v>0</v>
      </c>
      <c r="L43" s="987">
        <f>B101</f>
        <v>0</v>
      </c>
      <c r="M43" s="995">
        <f>B102</f>
        <v>1552.7055700000001</v>
      </c>
      <c r="N43" s="987">
        <f>B103</f>
        <v>0</v>
      </c>
      <c r="O43" s="2016"/>
      <c r="P43" s="2043"/>
      <c r="Q43" s="991">
        <f t="shared" ref="Q43:Q52" si="19">SUM(N43:P43)</f>
        <v>0</v>
      </c>
      <c r="R43" s="987">
        <f>B104</f>
        <v>0</v>
      </c>
      <c r="S43" s="2016"/>
      <c r="T43" s="987"/>
      <c r="U43" s="991">
        <f t="shared" ref="U43:U52" si="20">SUM(R43:T43)</f>
        <v>0</v>
      </c>
      <c r="V43" s="987">
        <f>B105</f>
        <v>0</v>
      </c>
      <c r="W43" s="2016"/>
      <c r="X43" s="987"/>
      <c r="Y43" s="995">
        <f>B105</f>
        <v>0</v>
      </c>
      <c r="Z43" s="987">
        <f>B106</f>
        <v>62.4</v>
      </c>
      <c r="AA43" s="995">
        <f>B107</f>
        <v>75.856999999999999</v>
      </c>
      <c r="AB43" s="987">
        <f>B108</f>
        <v>112.38654</v>
      </c>
      <c r="AC43" s="981">
        <f t="shared" ref="AC43:AC52" si="21">B43+H43+I43+M43+Q43+U43+Y43+Z43+AA43+AB43</f>
        <v>2901.28008</v>
      </c>
      <c r="AD43" s="987">
        <f>B110</f>
        <v>760.98231999999996</v>
      </c>
      <c r="AE43" s="2016">
        <f>B111</f>
        <v>26.24</v>
      </c>
      <c r="AF43" s="996">
        <f>B112</f>
        <v>91.7</v>
      </c>
      <c r="AG43" s="991">
        <f t="shared" ref="AG43:AG52" si="22">SUM(AD43:AF43)</f>
        <v>878.92232000000001</v>
      </c>
      <c r="AH43" s="992"/>
      <c r="AI43" s="993"/>
      <c r="AJ43" s="994"/>
      <c r="AK43" s="996">
        <f>B113</f>
        <v>214.1215</v>
      </c>
      <c r="AL43" s="1040">
        <f>B114</f>
        <v>0</v>
      </c>
      <c r="AM43" s="995">
        <f>B115</f>
        <v>502.40105999999997</v>
      </c>
      <c r="AN43" s="990">
        <f t="shared" ref="AN43:AN53" si="23">AC43+AG43+AK43+AL43+AM43</f>
        <v>4496.7249600000005</v>
      </c>
      <c r="AO43" s="1185">
        <f>'вспом. план'!AN43</f>
        <v>5000.0312374171799</v>
      </c>
      <c r="AP43" s="1186">
        <f t="shared" si="2"/>
        <v>-503.30627741717944</v>
      </c>
    </row>
    <row r="44" spans="1:42" s="226" customFormat="1">
      <c r="A44" s="1086" t="s">
        <v>383</v>
      </c>
      <c r="B44" s="1005">
        <f>H91</f>
        <v>0</v>
      </c>
      <c r="C44" s="2010"/>
      <c r="D44" s="2010"/>
      <c r="E44" s="2010"/>
      <c r="F44" s="2010"/>
      <c r="G44" s="2005"/>
      <c r="H44" s="2014">
        <f>H97</f>
        <v>0</v>
      </c>
      <c r="I44" s="1005">
        <f>H98</f>
        <v>0</v>
      </c>
      <c r="J44" s="2005">
        <f>H99</f>
        <v>0</v>
      </c>
      <c r="K44" s="988">
        <f>H100</f>
        <v>0</v>
      </c>
      <c r="L44" s="2005">
        <f>H101</f>
        <v>0</v>
      </c>
      <c r="M44" s="1005">
        <f>H102</f>
        <v>0</v>
      </c>
      <c r="N44" s="2005">
        <f>H103</f>
        <v>0</v>
      </c>
      <c r="O44" s="988"/>
      <c r="P44" s="2012"/>
      <c r="Q44" s="991">
        <f t="shared" si="19"/>
        <v>0</v>
      </c>
      <c r="R44" s="2005">
        <f>H104</f>
        <v>0</v>
      </c>
      <c r="S44" s="988"/>
      <c r="T44" s="2005"/>
      <c r="U44" s="991">
        <f t="shared" si="20"/>
        <v>0</v>
      </c>
      <c r="V44" s="2005">
        <f>H105</f>
        <v>0</v>
      </c>
      <c r="W44" s="988"/>
      <c r="X44" s="2005"/>
      <c r="Y44" s="1005">
        <f>H105</f>
        <v>0</v>
      </c>
      <c r="Z44" s="2005">
        <f>H106</f>
        <v>0</v>
      </c>
      <c r="AA44" s="1005">
        <f>H107</f>
        <v>0</v>
      </c>
      <c r="AB44" s="2005">
        <f>H108</f>
        <v>0</v>
      </c>
      <c r="AC44" s="981">
        <f t="shared" si="21"/>
        <v>0</v>
      </c>
      <c r="AD44" s="2005">
        <f>H110</f>
        <v>0</v>
      </c>
      <c r="AE44" s="988">
        <f>H111</f>
        <v>0</v>
      </c>
      <c r="AF44" s="1006">
        <f>H112</f>
        <v>0</v>
      </c>
      <c r="AG44" s="991">
        <f t="shared" si="22"/>
        <v>0</v>
      </c>
      <c r="AH44" s="992"/>
      <c r="AI44" s="993"/>
      <c r="AJ44" s="994"/>
      <c r="AK44" s="1006">
        <f>H113</f>
        <v>0</v>
      </c>
      <c r="AL44" s="2011">
        <f>H114</f>
        <v>0</v>
      </c>
      <c r="AM44" s="1005">
        <f>H115</f>
        <v>0</v>
      </c>
      <c r="AN44" s="990">
        <f t="shared" si="23"/>
        <v>0</v>
      </c>
      <c r="AO44" s="1185">
        <f>'вспом. план'!AN44</f>
        <v>0</v>
      </c>
      <c r="AP44" s="1188">
        <f t="shared" si="2"/>
        <v>0</v>
      </c>
    </row>
    <row r="45" spans="1:42" s="226" customFormat="1">
      <c r="A45" s="1086" t="s">
        <v>384</v>
      </c>
      <c r="B45" s="1005">
        <f>I91</f>
        <v>0</v>
      </c>
      <c r="C45" s="2005"/>
      <c r="D45" s="2010"/>
      <c r="E45" s="2010"/>
      <c r="F45" s="2010"/>
      <c r="G45" s="2005"/>
      <c r="H45" s="2014">
        <f>I97</f>
        <v>0</v>
      </c>
      <c r="I45" s="1005">
        <f>I98</f>
        <v>0</v>
      </c>
      <c r="J45" s="2005">
        <f>I99</f>
        <v>140.03281000000001</v>
      </c>
      <c r="K45" s="988">
        <f>I100</f>
        <v>0</v>
      </c>
      <c r="L45" s="2005">
        <f>I101</f>
        <v>0</v>
      </c>
      <c r="M45" s="1005">
        <f>I102</f>
        <v>140.03281000000001</v>
      </c>
      <c r="N45" s="2005">
        <f>I103</f>
        <v>3</v>
      </c>
      <c r="O45" s="988"/>
      <c r="P45" s="2012"/>
      <c r="Q45" s="991">
        <f t="shared" si="19"/>
        <v>3</v>
      </c>
      <c r="R45" s="2005">
        <f>I104</f>
        <v>34.700000000000003</v>
      </c>
      <c r="S45" s="988"/>
      <c r="T45" s="2005"/>
      <c r="U45" s="991">
        <f t="shared" si="20"/>
        <v>34.700000000000003</v>
      </c>
      <c r="V45" s="2005">
        <f>I105</f>
        <v>0</v>
      </c>
      <c r="W45" s="988"/>
      <c r="X45" s="2005"/>
      <c r="Y45" s="1005">
        <f>I105</f>
        <v>0</v>
      </c>
      <c r="Z45" s="2005">
        <f>I106</f>
        <v>376.27600000000001</v>
      </c>
      <c r="AA45" s="1005">
        <f>I107</f>
        <v>0</v>
      </c>
      <c r="AB45" s="2005">
        <f>I108</f>
        <v>842.86548000000005</v>
      </c>
      <c r="AC45" s="981">
        <f t="shared" si="21"/>
        <v>1396.8742900000002</v>
      </c>
      <c r="AD45" s="2005">
        <f>I110</f>
        <v>4587.8737700000001</v>
      </c>
      <c r="AE45" s="988">
        <f>I111</f>
        <v>655.44816000000003</v>
      </c>
      <c r="AF45" s="1006">
        <f>I112</f>
        <v>1281.7256299999999</v>
      </c>
      <c r="AG45" s="991">
        <f t="shared" si="22"/>
        <v>6525.04756</v>
      </c>
      <c r="AH45" s="992"/>
      <c r="AI45" s="993"/>
      <c r="AJ45" s="994"/>
      <c r="AK45" s="1006">
        <f>I113</f>
        <v>254.62769</v>
      </c>
      <c r="AL45" s="2011">
        <f>I114</f>
        <v>0</v>
      </c>
      <c r="AM45" s="1005">
        <f>I115</f>
        <v>152.55124000000001</v>
      </c>
      <c r="AN45" s="990">
        <f t="shared" si="23"/>
        <v>8329.1007800000007</v>
      </c>
      <c r="AO45" s="1185">
        <f>'вспом. план'!AN45</f>
        <v>8787.0925551678756</v>
      </c>
      <c r="AP45" s="1188">
        <f t="shared" si="2"/>
        <v>-457.99177516787495</v>
      </c>
    </row>
    <row r="46" spans="1:42" s="226" customFormat="1">
      <c r="A46" s="1086" t="s">
        <v>385</v>
      </c>
      <c r="B46" s="1005">
        <f>M91</f>
        <v>0</v>
      </c>
      <c r="C46" s="2010"/>
      <c r="D46" s="2010"/>
      <c r="E46" s="2010"/>
      <c r="F46" s="2010"/>
      <c r="G46" s="2005"/>
      <c r="H46" s="2014">
        <f>M97</f>
        <v>0</v>
      </c>
      <c r="I46" s="1005">
        <f>M98</f>
        <v>1.76</v>
      </c>
      <c r="J46" s="2005">
        <f>M99</f>
        <v>128.91480999999999</v>
      </c>
      <c r="K46" s="988">
        <f>M100</f>
        <v>0</v>
      </c>
      <c r="L46" s="2005">
        <f>M101</f>
        <v>0</v>
      </c>
      <c r="M46" s="1005">
        <f>M102</f>
        <v>128.91480999999999</v>
      </c>
      <c r="N46" s="2005">
        <f>M103</f>
        <v>16.547969999999999</v>
      </c>
      <c r="O46" s="988"/>
      <c r="P46" s="2012"/>
      <c r="Q46" s="991">
        <f t="shared" si="19"/>
        <v>16.547969999999999</v>
      </c>
      <c r="R46" s="2211">
        <f>L104-S46-T46</f>
        <v>237.70999999999998</v>
      </c>
      <c r="S46" s="2216">
        <v>35.734000000000002</v>
      </c>
      <c r="T46" s="2211">
        <v>5.34</v>
      </c>
      <c r="U46" s="991">
        <f t="shared" si="20"/>
        <v>278.78399999999993</v>
      </c>
      <c r="V46" s="2005">
        <f>M105</f>
        <v>0.375</v>
      </c>
      <c r="W46" s="988"/>
      <c r="X46" s="2005"/>
      <c r="Y46" s="1005">
        <f>M105</f>
        <v>0.375</v>
      </c>
      <c r="Z46" s="2005">
        <f>M106</f>
        <v>0.45</v>
      </c>
      <c r="AA46" s="1005">
        <f>M107</f>
        <v>0</v>
      </c>
      <c r="AB46" s="2005">
        <f>M108</f>
        <v>0</v>
      </c>
      <c r="AC46" s="981">
        <f t="shared" si="21"/>
        <v>426.83177999999992</v>
      </c>
      <c r="AD46" s="2005">
        <f>M110</f>
        <v>78.747100000000003</v>
      </c>
      <c r="AE46" s="988">
        <f>M111</f>
        <v>0</v>
      </c>
      <c r="AF46" s="1006">
        <f>M112</f>
        <v>894.97319999999991</v>
      </c>
      <c r="AG46" s="991">
        <f t="shared" si="22"/>
        <v>973.72029999999995</v>
      </c>
      <c r="AH46" s="992"/>
      <c r="AI46" s="993"/>
      <c r="AJ46" s="994"/>
      <c r="AK46" s="1006">
        <f>M113</f>
        <v>3922.1293300000002</v>
      </c>
      <c r="AL46" s="2011">
        <f>M114</f>
        <v>35.115000000000002</v>
      </c>
      <c r="AM46" s="1005">
        <f>M115</f>
        <v>3355.5253299999999</v>
      </c>
      <c r="AN46" s="990">
        <f t="shared" si="23"/>
        <v>8713.3217399999994</v>
      </c>
      <c r="AO46" s="1185">
        <f>'вспом. план'!AN46</f>
        <v>8733.4737940107061</v>
      </c>
      <c r="AP46" s="1188">
        <f t="shared" si="2"/>
        <v>-20.152054010706706</v>
      </c>
    </row>
    <row r="47" spans="1:42" s="226" customFormat="1">
      <c r="A47" s="1086" t="s">
        <v>386</v>
      </c>
      <c r="B47" s="1005">
        <f>Q91</f>
        <v>1045.14373</v>
      </c>
      <c r="C47" s="2010"/>
      <c r="D47" s="2010"/>
      <c r="E47" s="2010"/>
      <c r="F47" s="2010"/>
      <c r="G47" s="2005"/>
      <c r="H47" s="2014">
        <f>Q97</f>
        <v>0</v>
      </c>
      <c r="I47" s="1005">
        <f>Q98</f>
        <v>992.05654000000004</v>
      </c>
      <c r="J47" s="2005">
        <f>Q99</f>
        <v>261.62423999999999</v>
      </c>
      <c r="K47" s="988">
        <f>Q100</f>
        <v>0</v>
      </c>
      <c r="L47" s="2005">
        <f>Q101</f>
        <v>19.9041</v>
      </c>
      <c r="M47" s="1005">
        <f>Q102</f>
        <v>281.52833999999996</v>
      </c>
      <c r="N47" s="2005">
        <f>N103</f>
        <v>0</v>
      </c>
      <c r="O47" s="988"/>
      <c r="P47" s="2012"/>
      <c r="Q47" s="991">
        <f t="shared" si="19"/>
        <v>0</v>
      </c>
      <c r="R47" s="2005">
        <f>N104</f>
        <v>1131.9459999999999</v>
      </c>
      <c r="S47" s="988"/>
      <c r="T47" s="2005"/>
      <c r="U47" s="991">
        <f t="shared" si="20"/>
        <v>1131.9459999999999</v>
      </c>
      <c r="V47" s="2005">
        <f>N105</f>
        <v>718.84082999999998</v>
      </c>
      <c r="W47" s="988"/>
      <c r="X47" s="2005"/>
      <c r="Y47" s="1005">
        <f>Q105</f>
        <v>718.84082999999998</v>
      </c>
      <c r="Z47" s="2005">
        <f>Q106</f>
        <v>875.01085</v>
      </c>
      <c r="AA47" s="1005">
        <f>Q107</f>
        <v>0</v>
      </c>
      <c r="AB47" s="2005">
        <f>Q108</f>
        <v>21.874680000000001</v>
      </c>
      <c r="AC47" s="981">
        <f t="shared" si="21"/>
        <v>5066.4009699999997</v>
      </c>
      <c r="AD47" s="2005">
        <f>Q110</f>
        <v>0</v>
      </c>
      <c r="AE47" s="988">
        <f>Q111</f>
        <v>508.50263000000001</v>
      </c>
      <c r="AF47" s="1006">
        <f>Q112</f>
        <v>0</v>
      </c>
      <c r="AG47" s="991">
        <f t="shared" si="22"/>
        <v>508.50263000000001</v>
      </c>
      <c r="AH47" s="992"/>
      <c r="AI47" s="993"/>
      <c r="AJ47" s="994"/>
      <c r="AK47" s="1006">
        <f>Q113</f>
        <v>3649.9065599999999</v>
      </c>
      <c r="AL47" s="2011">
        <f>Q114</f>
        <v>500.02868999999998</v>
      </c>
      <c r="AM47" s="1005">
        <f>Q115</f>
        <v>165.4742</v>
      </c>
      <c r="AN47" s="990">
        <f t="shared" si="23"/>
        <v>9890.3130499999988</v>
      </c>
      <c r="AO47" s="1185">
        <f>'вспом. план'!AN47</f>
        <v>12051.005449991004</v>
      </c>
      <c r="AP47" s="1188">
        <f t="shared" si="2"/>
        <v>-2160.692399991005</v>
      </c>
    </row>
    <row r="48" spans="1:42" s="226" customFormat="1" ht="10.5" customHeight="1">
      <c r="A48" s="1086" t="s">
        <v>387</v>
      </c>
      <c r="B48" s="1005">
        <f>U91</f>
        <v>8.7119999999999997</v>
      </c>
      <c r="C48" s="2010"/>
      <c r="D48" s="2010"/>
      <c r="E48" s="2010"/>
      <c r="F48" s="2010"/>
      <c r="G48" s="2005"/>
      <c r="H48" s="2014">
        <f>U97</f>
        <v>0</v>
      </c>
      <c r="I48" s="1005">
        <f>U98</f>
        <v>52.652999999999999</v>
      </c>
      <c r="J48" s="2005">
        <f>U99</f>
        <v>44.176000000000002</v>
      </c>
      <c r="K48" s="988">
        <f>U100</f>
        <v>0</v>
      </c>
      <c r="L48" s="2005">
        <f>U101</f>
        <v>0</v>
      </c>
      <c r="M48" s="1005">
        <f>U102</f>
        <v>44.176000000000002</v>
      </c>
      <c r="N48" s="2005">
        <f>R103</f>
        <v>6.069</v>
      </c>
      <c r="O48" s="988"/>
      <c r="P48" s="2012"/>
      <c r="Q48" s="991">
        <f t="shared" si="19"/>
        <v>6.069</v>
      </c>
      <c r="R48" s="2005">
        <f>R104</f>
        <v>8.7119999999999997</v>
      </c>
      <c r="S48" s="988"/>
      <c r="T48" s="2005"/>
      <c r="U48" s="991">
        <f t="shared" si="20"/>
        <v>8.7119999999999997</v>
      </c>
      <c r="V48" s="2005">
        <f>R105</f>
        <v>0</v>
      </c>
      <c r="W48" s="2216">
        <f>S105</f>
        <v>4.1196000000000002</v>
      </c>
      <c r="X48" s="2005"/>
      <c r="Y48" s="1005">
        <f>U105</f>
        <v>4.1196000000000002</v>
      </c>
      <c r="Z48" s="2005">
        <f>U106</f>
        <v>0</v>
      </c>
      <c r="AA48" s="1005">
        <f>U107</f>
        <v>0</v>
      </c>
      <c r="AB48" s="2005">
        <f>U108</f>
        <v>0</v>
      </c>
      <c r="AC48" s="981">
        <f t="shared" si="21"/>
        <v>124.44160000000001</v>
      </c>
      <c r="AD48" s="2005">
        <f>U110</f>
        <v>0</v>
      </c>
      <c r="AE48" s="988">
        <f>U111</f>
        <v>9.5250000000000004</v>
      </c>
      <c r="AF48" s="1006">
        <f>U112</f>
        <v>3.8224300000000002</v>
      </c>
      <c r="AG48" s="991">
        <f t="shared" si="22"/>
        <v>13.347430000000001</v>
      </c>
      <c r="AH48" s="992"/>
      <c r="AI48" s="993"/>
      <c r="AJ48" s="994"/>
      <c r="AK48" s="1006">
        <f>U113</f>
        <v>75.591999999999999</v>
      </c>
      <c r="AL48" s="2011">
        <f>U114</f>
        <v>44.108139999999999</v>
      </c>
      <c r="AM48" s="1005">
        <f>U115</f>
        <v>6.5880000000000001</v>
      </c>
      <c r="AN48" s="990">
        <f t="shared" si="23"/>
        <v>264.07717000000002</v>
      </c>
      <c r="AO48" s="1185">
        <f>'вспом. план'!AN48</f>
        <v>261.5923835484806</v>
      </c>
      <c r="AP48" s="1188">
        <f t="shared" si="2"/>
        <v>2.484786451519426</v>
      </c>
    </row>
    <row r="49" spans="1:42" s="226" customFormat="1" ht="9.75" customHeight="1">
      <c r="A49" s="1086" t="s">
        <v>388</v>
      </c>
      <c r="B49" s="1005">
        <f>Y91</f>
        <v>0</v>
      </c>
      <c r="C49" s="2010"/>
      <c r="D49" s="2010"/>
      <c r="E49" s="2010"/>
      <c r="F49" s="2010"/>
      <c r="G49" s="2005"/>
      <c r="H49" s="2014">
        <f>Y97</f>
        <v>0</v>
      </c>
      <c r="I49" s="1005">
        <f>Y98</f>
        <v>0</v>
      </c>
      <c r="J49" s="2005">
        <f>Y99</f>
        <v>0</v>
      </c>
      <c r="K49" s="988">
        <f>Y100</f>
        <v>0</v>
      </c>
      <c r="L49" s="2005">
        <f>Y101</f>
        <v>0</v>
      </c>
      <c r="M49" s="1005">
        <f>Y102</f>
        <v>0</v>
      </c>
      <c r="N49" s="2005">
        <f>V103</f>
        <v>2979.1877199999999</v>
      </c>
      <c r="O49" s="988"/>
      <c r="P49" s="2012"/>
      <c r="Q49" s="991">
        <f t="shared" si="19"/>
        <v>2979.1877199999999</v>
      </c>
      <c r="R49" s="2005">
        <f>V104</f>
        <v>72.341269999999994</v>
      </c>
      <c r="S49" s="988"/>
      <c r="T49" s="2005"/>
      <c r="U49" s="991">
        <f t="shared" si="20"/>
        <v>72.341269999999994</v>
      </c>
      <c r="V49" s="2005">
        <f>V105</f>
        <v>0</v>
      </c>
      <c r="W49" s="988"/>
      <c r="X49" s="2005"/>
      <c r="Y49" s="1005">
        <f>Y105</f>
        <v>0</v>
      </c>
      <c r="Z49" s="2005">
        <f>Y106</f>
        <v>0</v>
      </c>
      <c r="AA49" s="1005">
        <f>Y107</f>
        <v>0</v>
      </c>
      <c r="AB49" s="2005">
        <f>Y108</f>
        <v>0</v>
      </c>
      <c r="AC49" s="981">
        <f t="shared" si="21"/>
        <v>3051.5289899999998</v>
      </c>
      <c r="AD49" s="2005">
        <f>Y110</f>
        <v>0</v>
      </c>
      <c r="AE49" s="988">
        <f>Y111</f>
        <v>302.78350999999998</v>
      </c>
      <c r="AF49" s="1006">
        <f>Y112</f>
        <v>0</v>
      </c>
      <c r="AG49" s="991">
        <f t="shared" si="22"/>
        <v>302.78350999999998</v>
      </c>
      <c r="AH49" s="992"/>
      <c r="AI49" s="993"/>
      <c r="AJ49" s="994"/>
      <c r="AK49" s="1006">
        <f>Y113</f>
        <v>54.555540000000001</v>
      </c>
      <c r="AL49" s="2011">
        <f>Y114</f>
        <v>250.25684999999999</v>
      </c>
      <c r="AM49" s="1005">
        <f>Y115</f>
        <v>253.35905</v>
      </c>
      <c r="AN49" s="990">
        <f t="shared" si="23"/>
        <v>3912.4839400000001</v>
      </c>
      <c r="AO49" s="1185">
        <f>'вспом. план'!AN49</f>
        <v>2019.4160718935332</v>
      </c>
      <c r="AP49" s="1188">
        <f t="shared" si="2"/>
        <v>1893.0678681064669</v>
      </c>
    </row>
    <row r="50" spans="1:42" s="226" customFormat="1" ht="9.75" customHeight="1">
      <c r="A50" s="1086" t="s">
        <v>389</v>
      </c>
      <c r="B50" s="1005">
        <f>Z91</f>
        <v>6.8039100000000001</v>
      </c>
      <c r="C50" s="2010"/>
      <c r="D50" s="2010"/>
      <c r="E50" s="2010"/>
      <c r="F50" s="2010"/>
      <c r="G50" s="2005"/>
      <c r="H50" s="2014">
        <f>Z97</f>
        <v>0</v>
      </c>
      <c r="I50" s="1005">
        <f>Z98</f>
        <v>43.387239999999998</v>
      </c>
      <c r="J50" s="2005">
        <f>Z99</f>
        <v>35.795859999999998</v>
      </c>
      <c r="K50" s="988">
        <f>Z100</f>
        <v>0</v>
      </c>
      <c r="L50" s="2005">
        <f>Z101</f>
        <v>0</v>
      </c>
      <c r="M50" s="1005">
        <f>Z102</f>
        <v>35.795859999999998</v>
      </c>
      <c r="N50" s="2005">
        <f>Z103</f>
        <v>4.7832400000000002</v>
      </c>
      <c r="O50" s="988"/>
      <c r="P50" s="2012"/>
      <c r="Q50" s="991">
        <f t="shared" si="19"/>
        <v>4.7832400000000002</v>
      </c>
      <c r="R50" s="2005">
        <f>Z104</f>
        <v>7.0303500000000003</v>
      </c>
      <c r="S50" s="988"/>
      <c r="T50" s="2005"/>
      <c r="U50" s="991">
        <f t="shared" si="20"/>
        <v>7.0303500000000003</v>
      </c>
      <c r="V50" s="2005">
        <f>Z105</f>
        <v>0</v>
      </c>
      <c r="W50" s="988"/>
      <c r="X50" s="2005"/>
      <c r="Y50" s="1005">
        <f>Z105</f>
        <v>0</v>
      </c>
      <c r="Z50" s="2005">
        <f>Z106</f>
        <v>0</v>
      </c>
      <c r="AA50" s="1005">
        <f>Z107</f>
        <v>0</v>
      </c>
      <c r="AB50" s="2005">
        <f>Z108</f>
        <v>0</v>
      </c>
      <c r="AC50" s="981">
        <f t="shared" si="21"/>
        <v>97.800600000000003</v>
      </c>
      <c r="AD50" s="2005">
        <f>Z110</f>
        <v>0</v>
      </c>
      <c r="AE50" s="988">
        <f>Z111</f>
        <v>0</v>
      </c>
      <c r="AF50" s="1006">
        <f>Z112</f>
        <v>0</v>
      </c>
      <c r="AG50" s="991">
        <f t="shared" si="22"/>
        <v>0</v>
      </c>
      <c r="AH50" s="992"/>
      <c r="AI50" s="993"/>
      <c r="AJ50" s="994"/>
      <c r="AK50" s="1006">
        <f>Z113</f>
        <v>69.772559999999999</v>
      </c>
      <c r="AL50" s="2011">
        <f>Z114</f>
        <v>31.255700000000001</v>
      </c>
      <c r="AM50" s="1005">
        <f>Z115</f>
        <v>5.2855999999999996</v>
      </c>
      <c r="AN50" s="990">
        <f t="shared" si="23"/>
        <v>204.11445999999998</v>
      </c>
      <c r="AO50" s="1185">
        <f>'вспом. план'!AN50</f>
        <v>176.33534423563111</v>
      </c>
      <c r="AP50" s="1188">
        <f t="shared" si="2"/>
        <v>27.779115764368868</v>
      </c>
    </row>
    <row r="51" spans="1:42" s="226" customFormat="1" ht="9.75" customHeight="1">
      <c r="A51" s="1086" t="s">
        <v>390</v>
      </c>
      <c r="B51" s="1005">
        <f>AA91</f>
        <v>0</v>
      </c>
      <c r="C51" s="2010"/>
      <c r="D51" s="2010"/>
      <c r="E51" s="2010"/>
      <c r="F51" s="2010"/>
      <c r="G51" s="2005"/>
      <c r="H51" s="2014">
        <f>AA97</f>
        <v>0</v>
      </c>
      <c r="I51" s="1005">
        <f>AA98</f>
        <v>0</v>
      </c>
      <c r="J51" s="2005">
        <f>AA99</f>
        <v>0</v>
      </c>
      <c r="K51" s="988">
        <f>AA100</f>
        <v>0</v>
      </c>
      <c r="L51" s="2005">
        <f>AA101</f>
        <v>0</v>
      </c>
      <c r="M51" s="1005">
        <f>AA102</f>
        <v>0</v>
      </c>
      <c r="N51" s="2005">
        <f>AA103</f>
        <v>0</v>
      </c>
      <c r="O51" s="988"/>
      <c r="P51" s="2012"/>
      <c r="Q51" s="991">
        <f t="shared" si="19"/>
        <v>0</v>
      </c>
      <c r="R51" s="2005">
        <f>AA104</f>
        <v>0</v>
      </c>
      <c r="S51" s="988"/>
      <c r="T51" s="2005"/>
      <c r="U51" s="991">
        <f t="shared" si="20"/>
        <v>0</v>
      </c>
      <c r="V51" s="2005">
        <f>AA105</f>
        <v>0</v>
      </c>
      <c r="W51" s="988"/>
      <c r="X51" s="2005"/>
      <c r="Y51" s="1005">
        <f>AA105</f>
        <v>0</v>
      </c>
      <c r="Z51" s="2005">
        <f>AA106</f>
        <v>0</v>
      </c>
      <c r="AA51" s="1005">
        <f>AA107</f>
        <v>0</v>
      </c>
      <c r="AB51" s="2005">
        <f>AA108</f>
        <v>0</v>
      </c>
      <c r="AC51" s="981">
        <f t="shared" si="21"/>
        <v>0</v>
      </c>
      <c r="AD51" s="2005">
        <f>AA110</f>
        <v>0</v>
      </c>
      <c r="AE51" s="988">
        <f>AA111</f>
        <v>0</v>
      </c>
      <c r="AF51" s="1006">
        <f>AA112</f>
        <v>0</v>
      </c>
      <c r="AG51" s="991">
        <f t="shared" si="22"/>
        <v>0</v>
      </c>
      <c r="AH51" s="992"/>
      <c r="AI51" s="993"/>
      <c r="AJ51" s="994"/>
      <c r="AK51" s="1006">
        <f>AA113</f>
        <v>0</v>
      </c>
      <c r="AL51" s="2011">
        <f>AA114</f>
        <v>3.26126</v>
      </c>
      <c r="AM51" s="1005">
        <f>AA115</f>
        <v>0</v>
      </c>
      <c r="AN51" s="990">
        <f t="shared" si="23"/>
        <v>3.26126</v>
      </c>
      <c r="AO51" s="1185">
        <f>'вспом. план'!AN51</f>
        <v>4.598381406237408</v>
      </c>
      <c r="AP51" s="1188">
        <f t="shared" si="2"/>
        <v>-1.3371214062374079</v>
      </c>
    </row>
    <row r="52" spans="1:42" s="226" customFormat="1" ht="9.75" customHeight="1">
      <c r="A52" s="1086" t="s">
        <v>571</v>
      </c>
      <c r="B52" s="1005">
        <f>AB91</f>
        <v>0</v>
      </c>
      <c r="C52" s="2010"/>
      <c r="D52" s="2010"/>
      <c r="E52" s="2010"/>
      <c r="F52" s="2010"/>
      <c r="G52" s="2005"/>
      <c r="H52" s="2014">
        <f>AB97</f>
        <v>0</v>
      </c>
      <c r="I52" s="1005">
        <f>AB98</f>
        <v>0</v>
      </c>
      <c r="J52" s="2005">
        <f>AB99</f>
        <v>0</v>
      </c>
      <c r="K52" s="988">
        <f>AB100</f>
        <v>0</v>
      </c>
      <c r="L52" s="2005">
        <f>AB101</f>
        <v>0</v>
      </c>
      <c r="M52" s="1005">
        <f>AB102</f>
        <v>0</v>
      </c>
      <c r="N52" s="2005">
        <f>AB103</f>
        <v>0</v>
      </c>
      <c r="O52" s="988"/>
      <c r="P52" s="2012"/>
      <c r="Q52" s="991">
        <f t="shared" si="19"/>
        <v>0</v>
      </c>
      <c r="R52" s="2005">
        <f>AB104</f>
        <v>0</v>
      </c>
      <c r="S52" s="988"/>
      <c r="T52" s="2005"/>
      <c r="U52" s="991">
        <f t="shared" si="20"/>
        <v>0</v>
      </c>
      <c r="V52" s="2005">
        <f>AB105</f>
        <v>0</v>
      </c>
      <c r="W52" s="988"/>
      <c r="X52" s="2005"/>
      <c r="Y52" s="1005">
        <f>AB105</f>
        <v>0</v>
      </c>
      <c r="Z52" s="2005">
        <f>AB106</f>
        <v>0</v>
      </c>
      <c r="AA52" s="1005">
        <f>AB107</f>
        <v>0</v>
      </c>
      <c r="AB52" s="2188">
        <v>1167.37592</v>
      </c>
      <c r="AC52" s="981">
        <f t="shared" si="21"/>
        <v>1167.37592</v>
      </c>
      <c r="AD52" s="2005">
        <f>AB110</f>
        <v>0</v>
      </c>
      <c r="AE52" s="988">
        <f>AB111</f>
        <v>0</v>
      </c>
      <c r="AF52" s="1006">
        <f>AB112</f>
        <v>0</v>
      </c>
      <c r="AG52" s="991">
        <f t="shared" si="22"/>
        <v>0</v>
      </c>
      <c r="AH52" s="992"/>
      <c r="AI52" s="993"/>
      <c r="AJ52" s="994"/>
      <c r="AK52" s="1006">
        <f>AB113</f>
        <v>0</v>
      </c>
      <c r="AL52" s="2011">
        <f>AB114</f>
        <v>0</v>
      </c>
      <c r="AM52" s="1005">
        <f>AB115</f>
        <v>0</v>
      </c>
      <c r="AN52" s="1077">
        <f t="shared" si="23"/>
        <v>1167.37592</v>
      </c>
      <c r="AO52" s="1185">
        <f>'вспом. план'!AN52</f>
        <v>0</v>
      </c>
      <c r="AP52" s="1188">
        <f t="shared" si="2"/>
        <v>1167.37592</v>
      </c>
    </row>
    <row r="53" spans="1:42" s="226" customFormat="1" ht="10.5" customHeight="1" thickBot="1">
      <c r="A53" s="2044" t="s">
        <v>391</v>
      </c>
      <c r="B53" s="2045"/>
      <c r="C53" s="2046"/>
      <c r="D53" s="2046"/>
      <c r="E53" s="2046"/>
      <c r="F53" s="2046"/>
      <c r="G53" s="2047"/>
      <c r="H53" s="2048"/>
      <c r="I53" s="2045"/>
      <c r="J53" s="2047"/>
      <c r="K53" s="2049"/>
      <c r="L53" s="2047"/>
      <c r="M53" s="2045"/>
      <c r="N53" s="2047"/>
      <c r="O53" s="2049"/>
      <c r="P53" s="2050"/>
      <c r="Q53" s="2045"/>
      <c r="R53" s="2047"/>
      <c r="S53" s="2051"/>
      <c r="T53" s="2047"/>
      <c r="U53" s="2045"/>
      <c r="V53" s="2047"/>
      <c r="W53" s="2051"/>
      <c r="X53" s="2047"/>
      <c r="Y53" s="2045"/>
      <c r="Z53" s="2047"/>
      <c r="AA53" s="2045"/>
      <c r="AB53" s="2047"/>
      <c r="AC53" s="2045"/>
      <c r="AD53" s="2047"/>
      <c r="AE53" s="2049"/>
      <c r="AF53" s="2052"/>
      <c r="AG53" s="2045"/>
      <c r="AH53" s="992"/>
      <c r="AI53" s="993"/>
      <c r="AJ53" s="994"/>
      <c r="AK53" s="2053">
        <v>767.78769</v>
      </c>
      <c r="AL53" s="2054"/>
      <c r="AM53" s="2045"/>
      <c r="AN53" s="2055">
        <f t="shared" si="23"/>
        <v>767.78769</v>
      </c>
      <c r="AO53" s="1185">
        <f>'вспом. план'!AN53</f>
        <v>2829.7</v>
      </c>
      <c r="AP53" s="1191">
        <f t="shared" si="2"/>
        <v>-2061.9123099999997</v>
      </c>
    </row>
    <row r="54" spans="1:42" s="1037" customFormat="1" ht="10.5" customHeight="1" thickBot="1">
      <c r="A54" s="1653" t="s">
        <v>374</v>
      </c>
      <c r="B54" s="2191">
        <f t="shared" ref="B54:AD54" si="24">B41+B42+B53</f>
        <v>9054.9208199999994</v>
      </c>
      <c r="C54" s="1654">
        <f t="shared" si="24"/>
        <v>0</v>
      </c>
      <c r="D54" s="1655">
        <f t="shared" si="24"/>
        <v>0</v>
      </c>
      <c r="E54" s="1654">
        <f t="shared" si="24"/>
        <v>0</v>
      </c>
      <c r="F54" s="1655">
        <f t="shared" si="24"/>
        <v>0</v>
      </c>
      <c r="G54" s="1654">
        <f t="shared" si="24"/>
        <v>0</v>
      </c>
      <c r="H54" s="1908">
        <f t="shared" si="24"/>
        <v>0</v>
      </c>
      <c r="I54" s="2191">
        <f t="shared" si="24"/>
        <v>17975.00908</v>
      </c>
      <c r="J54" s="2202">
        <f t="shared" si="24"/>
        <v>23533.291950000003</v>
      </c>
      <c r="K54" s="2206">
        <f t="shared" si="24"/>
        <v>2460.2319400000001</v>
      </c>
      <c r="L54" s="2202">
        <f t="shared" si="24"/>
        <v>911.25818000000004</v>
      </c>
      <c r="M54" s="1655">
        <f t="shared" si="24"/>
        <v>26904.782069999997</v>
      </c>
      <c r="N54" s="2202">
        <f t="shared" si="24"/>
        <v>32016.699520000002</v>
      </c>
      <c r="O54" s="2212">
        <f t="shared" si="24"/>
        <v>7263.9677999999994</v>
      </c>
      <c r="P54" s="2214">
        <f t="shared" si="24"/>
        <v>5489.9044700000004</v>
      </c>
      <c r="Q54" s="1655">
        <f t="shared" si="24"/>
        <v>44770.571789999995</v>
      </c>
      <c r="R54" s="2202">
        <f t="shared" si="24"/>
        <v>3712.5040399999998</v>
      </c>
      <c r="S54" s="2212">
        <f t="shared" si="24"/>
        <v>458.69202999999999</v>
      </c>
      <c r="T54" s="2202">
        <f t="shared" si="24"/>
        <v>197.54859999999999</v>
      </c>
      <c r="U54" s="1655">
        <f t="shared" si="24"/>
        <v>4368.74467</v>
      </c>
      <c r="V54" s="2202">
        <f t="shared" si="24"/>
        <v>12098.483519999998</v>
      </c>
      <c r="W54" s="2212">
        <f t="shared" si="24"/>
        <v>2771.3173400000001</v>
      </c>
      <c r="X54" s="2202">
        <f t="shared" si="24"/>
        <v>1052.9095500000001</v>
      </c>
      <c r="Y54" s="1655">
        <f t="shared" si="24"/>
        <v>15922.710409999998</v>
      </c>
      <c r="Z54" s="2234">
        <f t="shared" si="24"/>
        <v>3231.7785099999996</v>
      </c>
      <c r="AA54" s="2191">
        <f t="shared" si="24"/>
        <v>1086.68452</v>
      </c>
      <c r="AB54" s="2202">
        <f t="shared" si="24"/>
        <v>4169.8403699999999</v>
      </c>
      <c r="AC54" s="2191">
        <f t="shared" si="24"/>
        <v>127485.04224</v>
      </c>
      <c r="AD54" s="2202">
        <f t="shared" si="24"/>
        <v>7091.9671399999997</v>
      </c>
      <c r="AE54" s="2212">
        <f>AE41+AE42+AE53</f>
        <v>22580.720060000003</v>
      </c>
      <c r="AF54" s="2226">
        <f>AF41+AF42+AF53</f>
        <v>14652.48605</v>
      </c>
      <c r="AG54" s="1656">
        <f>AG41+AG42+AG53</f>
        <v>44325.173249999993</v>
      </c>
      <c r="AH54" s="992"/>
      <c r="AI54" s="993"/>
      <c r="AJ54" s="994"/>
      <c r="AK54" s="2226">
        <f>AK41+AK42+AK53</f>
        <v>49493.308559999998</v>
      </c>
      <c r="AL54" s="2234">
        <f>AL41+AL42+AL53</f>
        <v>5115.2945399999999</v>
      </c>
      <c r="AM54" s="2191">
        <f>AM41+AM42+AM53</f>
        <v>49456.266650000005</v>
      </c>
      <c r="AN54" s="1654">
        <f>AN41+AN42+AN53</f>
        <v>275875.08523999999</v>
      </c>
      <c r="AO54" s="1654">
        <f>AO41+AO42+AO53</f>
        <v>299312.99102233729</v>
      </c>
      <c r="AP54" s="1654">
        <f t="shared" si="2"/>
        <v>-23437.9057823373</v>
      </c>
    </row>
    <row r="55" spans="1:42" s="1037" customFormat="1" ht="10.5" customHeight="1" thickBot="1">
      <c r="A55" s="1807" t="s">
        <v>406</v>
      </c>
      <c r="B55" s="2131"/>
      <c r="C55" s="1808"/>
      <c r="D55" s="1808"/>
      <c r="E55" s="1808"/>
      <c r="F55" s="1808"/>
      <c r="G55" s="1809"/>
      <c r="H55" s="1810"/>
      <c r="I55" s="2131"/>
      <c r="J55" s="1809"/>
      <c r="K55" s="1655"/>
      <c r="L55" s="2133"/>
      <c r="M55" s="1792"/>
      <c r="N55" s="2202">
        <f>N7</f>
        <v>4944.5519999999997</v>
      </c>
      <c r="O55" s="2135">
        <f>O7</f>
        <v>1016.992</v>
      </c>
      <c r="P55" s="2137">
        <f>P7</f>
        <v>893.97299999999996</v>
      </c>
      <c r="Q55" s="1792">
        <f>SUM(N55:P55)</f>
        <v>6855.5169999999998</v>
      </c>
      <c r="R55" s="2202">
        <v>79763</v>
      </c>
      <c r="S55" s="2212">
        <v>26577</v>
      </c>
      <c r="T55" s="2214">
        <v>21694</v>
      </c>
      <c r="U55" s="1655">
        <f>SUM(R55:T55)</f>
        <v>128034</v>
      </c>
      <c r="V55" s="2202">
        <f>V10/0.14</f>
        <v>9186.7285714285717</v>
      </c>
      <c r="W55" s="2212">
        <f>W10/0.14</f>
        <v>1979.2999999999997</v>
      </c>
      <c r="X55" s="2202">
        <f>X10/0.14</f>
        <v>1100.9428571428571</v>
      </c>
      <c r="Y55" s="1655">
        <f>SUM(V55:X55)</f>
        <v>12266.971428571429</v>
      </c>
      <c r="Z55" s="2234">
        <v>83639</v>
      </c>
      <c r="AA55" s="1655"/>
      <c r="AB55" s="1811"/>
      <c r="AC55" s="2221"/>
      <c r="AD55" s="1971"/>
      <c r="AE55" s="2135"/>
      <c r="AF55" s="2139"/>
      <c r="AG55" s="1792"/>
      <c r="AH55" s="992"/>
      <c r="AI55" s="993"/>
      <c r="AJ55" s="994"/>
      <c r="AK55" s="2140"/>
      <c r="AL55" s="1974"/>
      <c r="AM55" s="2206"/>
      <c r="AN55" s="1812"/>
      <c r="AO55" s="1193"/>
      <c r="AP55" s="1192">
        <f t="shared" si="2"/>
        <v>0</v>
      </c>
    </row>
    <row r="56" spans="1:42" s="226" customFormat="1" ht="10.5" customHeight="1" thickBot="1">
      <c r="A56" s="1807" t="s">
        <v>405</v>
      </c>
      <c r="B56" s="1792"/>
      <c r="C56" s="2056"/>
      <c r="D56" s="2056"/>
      <c r="E56" s="2056"/>
      <c r="F56" s="2056"/>
      <c r="G56" s="1811"/>
      <c r="H56" s="1810"/>
      <c r="I56" s="1792"/>
      <c r="J56" s="1811"/>
      <c r="K56" s="2057"/>
      <c r="L56" s="1811"/>
      <c r="M56" s="1792"/>
      <c r="N56" s="2056">
        <f>N54/N55</f>
        <v>6.4751466907416493</v>
      </c>
      <c r="O56" s="2058">
        <f>O54/O55</f>
        <v>7.142600728422642</v>
      </c>
      <c r="P56" s="2059">
        <f>P54/P55</f>
        <v>6.1410182074850139</v>
      </c>
      <c r="Q56" s="1792">
        <f>Q54/Q55</f>
        <v>6.5305901495102407</v>
      </c>
      <c r="R56" s="2056">
        <f>R54/R55*1000</f>
        <v>46.544187655930692</v>
      </c>
      <c r="S56" s="2058">
        <f>S54/S55*1000</f>
        <v>17.258984460247582</v>
      </c>
      <c r="T56" s="2059">
        <f>T54/T55*1000</f>
        <v>9.1061399465289927</v>
      </c>
      <c r="U56" s="1792">
        <f t="shared" ref="U56:Z56" si="25">U54/U55*1000</f>
        <v>34.121754143430657</v>
      </c>
      <c r="V56" s="1811">
        <f t="shared" si="25"/>
        <v>1316.9523215943493</v>
      </c>
      <c r="W56" s="2058">
        <f t="shared" si="25"/>
        <v>1400.1502248269592</v>
      </c>
      <c r="X56" s="1811">
        <f t="shared" si="25"/>
        <v>956.37075363973759</v>
      </c>
      <c r="Y56" s="1792">
        <f t="shared" si="25"/>
        <v>1298.0147954786835</v>
      </c>
      <c r="Z56" s="2138">
        <f t="shared" si="25"/>
        <v>38.639612023099268</v>
      </c>
      <c r="AA56" s="1792"/>
      <c r="AB56" s="1811"/>
      <c r="AC56" s="2222"/>
      <c r="AD56" s="1811"/>
      <c r="AE56" s="2136"/>
      <c r="AF56" s="2140"/>
      <c r="AG56" s="1792"/>
      <c r="AH56" s="992"/>
      <c r="AI56" s="993"/>
      <c r="AJ56" s="994"/>
      <c r="AK56" s="2140"/>
      <c r="AL56" s="2138"/>
      <c r="AM56" s="2206"/>
      <c r="AN56" s="1812"/>
      <c r="AO56" s="1194"/>
      <c r="AP56" s="1195">
        <f t="shared" si="2"/>
        <v>0</v>
      </c>
    </row>
    <row r="57" spans="1:42" s="1032" customFormat="1" ht="10.5" customHeight="1" thickBot="1">
      <c r="A57" s="1019" t="s">
        <v>392</v>
      </c>
      <c r="B57" s="2193">
        <f t="shared" ref="B57:AG57" si="26">B58+B82+B90+B109+B113+B114+B115+B116</f>
        <v>9054.9208199999994</v>
      </c>
      <c r="C57" s="1021">
        <f t="shared" si="26"/>
        <v>0</v>
      </c>
      <c r="D57" s="1022">
        <f t="shared" si="26"/>
        <v>0</v>
      </c>
      <c r="E57" s="1022">
        <f t="shared" si="26"/>
        <v>0</v>
      </c>
      <c r="F57" s="1022">
        <f t="shared" si="26"/>
        <v>0</v>
      </c>
      <c r="G57" s="1022">
        <f t="shared" si="26"/>
        <v>0</v>
      </c>
      <c r="H57" s="1024">
        <f t="shared" si="26"/>
        <v>0</v>
      </c>
      <c r="I57" s="2193">
        <f t="shared" si="26"/>
        <v>17975.00908</v>
      </c>
      <c r="J57" s="2203">
        <f>J58+J82+J90+J109+J113+J114+J115+J116</f>
        <v>23533.291949999999</v>
      </c>
      <c r="K57" s="2208">
        <f t="shared" si="26"/>
        <v>2460.2319399999997</v>
      </c>
      <c r="L57" s="2210">
        <f t="shared" si="26"/>
        <v>911.25817999999981</v>
      </c>
      <c r="M57" s="1020">
        <f t="shared" si="26"/>
        <v>26904.782070000001</v>
      </c>
      <c r="N57" s="2210">
        <f t="shared" si="26"/>
        <v>32016.699119999997</v>
      </c>
      <c r="O57" s="2213">
        <f t="shared" si="26"/>
        <v>7263.9676800000007</v>
      </c>
      <c r="P57" s="2213">
        <f t="shared" si="26"/>
        <v>5489.9044700000004</v>
      </c>
      <c r="Q57" s="1020">
        <f>Q58+Q82+Q90+Q109+Q113+Q114+Q115+Q116</f>
        <v>44770.571270000008</v>
      </c>
      <c r="R57" s="2210">
        <f t="shared" si="26"/>
        <v>3712.5044400000002</v>
      </c>
      <c r="S57" s="2208">
        <f t="shared" si="26"/>
        <v>458.69202999999999</v>
      </c>
      <c r="T57" s="2210">
        <f t="shared" si="26"/>
        <v>197.54859999999999</v>
      </c>
      <c r="U57" s="1020">
        <f>U58+U82+U90+U109+U113+U114+U115+U116</f>
        <v>4368.745069999999</v>
      </c>
      <c r="V57" s="2203">
        <f t="shared" si="26"/>
        <v>12098.483979999997</v>
      </c>
      <c r="W57" s="2208">
        <f t="shared" si="26"/>
        <v>2771.3173299999999</v>
      </c>
      <c r="X57" s="2210">
        <f t="shared" si="26"/>
        <v>1052.9095500000001</v>
      </c>
      <c r="Y57" s="1020">
        <f t="shared" si="26"/>
        <v>15922.710859999996</v>
      </c>
      <c r="Z57" s="2210">
        <f t="shared" si="26"/>
        <v>3231.7594100000001</v>
      </c>
      <c r="AA57" s="2132">
        <f t="shared" si="26"/>
        <v>1086.68452</v>
      </c>
      <c r="AB57" s="2210">
        <f t="shared" si="26"/>
        <v>4169.8397399999994</v>
      </c>
      <c r="AC57" s="2193">
        <f>AC58+AC82+AC90+AC109+AC113+AC114+AC115+AC116</f>
        <v>127485.02284000002</v>
      </c>
      <c r="AD57" s="2210">
        <f t="shared" si="26"/>
        <v>7091.9671400000007</v>
      </c>
      <c r="AE57" s="2208">
        <f t="shared" si="26"/>
        <v>22580.72006</v>
      </c>
      <c r="AF57" s="2227">
        <f t="shared" si="26"/>
        <v>14652.54494</v>
      </c>
      <c r="AG57" s="1025">
        <f t="shared" si="26"/>
        <v>44325.232139999993</v>
      </c>
      <c r="AH57" s="1028"/>
      <c r="AI57" s="1029"/>
      <c r="AJ57" s="1030"/>
      <c r="AK57" s="2227">
        <f>AK58+AK82+AK90+AK109+AK113+AK114+AK115+AK116</f>
        <v>49493.310140000001</v>
      </c>
      <c r="AL57" s="2203">
        <f>AL58+AL82+AL90+AL109+AL113+AL114+AL115+AL116</f>
        <v>5115.2945399999999</v>
      </c>
      <c r="AM57" s="2193">
        <f>AM58+AM82+AM90+AM109+AM113+AM114+AM115+AM116</f>
        <v>49456.26683</v>
      </c>
      <c r="AN57" s="1031">
        <f>AN58+AN82+AN90+AN109+AN113+AN114+AN115+AN116</f>
        <v>275875.12649</v>
      </c>
      <c r="AO57" s="1031">
        <f>AO58+AO82+AO90+AO109+AO113+AO114+AO115+AO116-501.4</f>
        <v>299572.56340313057</v>
      </c>
      <c r="AP57" s="1031">
        <f t="shared" si="2"/>
        <v>-23697.436913130572</v>
      </c>
    </row>
    <row r="58" spans="1:42" s="1037" customFormat="1" ht="10.5" customHeight="1">
      <c r="A58" s="1033" t="s">
        <v>393</v>
      </c>
      <c r="B58" s="1034">
        <f>SUM(B68,B77:B78,B79,B80,B81)</f>
        <v>2460.50819</v>
      </c>
      <c r="C58" s="1036">
        <f t="shared" ref="C58:Y58" si="27">SUM(C68,C77:C78)</f>
        <v>0</v>
      </c>
      <c r="D58" s="1203">
        <f t="shared" si="27"/>
        <v>0</v>
      </c>
      <c r="E58" s="1218">
        <f t="shared" si="27"/>
        <v>0</v>
      </c>
      <c r="F58" s="1202">
        <f t="shared" si="27"/>
        <v>0</v>
      </c>
      <c r="G58" s="1036">
        <f t="shared" si="27"/>
        <v>0</v>
      </c>
      <c r="H58" s="1035">
        <f t="shared" si="27"/>
        <v>0</v>
      </c>
      <c r="I58" s="1034">
        <f>SUM(I68,I77:I78,I79,I80,I81)</f>
        <v>4693.4960000000001</v>
      </c>
      <c r="J58" s="1650">
        <f t="shared" ref="J58:T58" si="28">SUM(J68,J77:J78,J79,J80,J81)</f>
        <v>1472.5953000000002</v>
      </c>
      <c r="K58" s="1651">
        <f t="shared" si="28"/>
        <v>0</v>
      </c>
      <c r="L58" s="1650">
        <f t="shared" si="28"/>
        <v>24.81</v>
      </c>
      <c r="M58" s="1034">
        <f t="shared" si="28"/>
        <v>1497.4053000000001</v>
      </c>
      <c r="N58" s="1650">
        <f t="shared" si="28"/>
        <v>10358.04379</v>
      </c>
      <c r="O58" s="1218">
        <f t="shared" si="28"/>
        <v>7263.9676800000007</v>
      </c>
      <c r="P58" s="1036">
        <f t="shared" si="28"/>
        <v>5489.9044700000004</v>
      </c>
      <c r="Q58" s="1802">
        <f t="shared" si="28"/>
        <v>23111.915940000003</v>
      </c>
      <c r="R58" s="1650">
        <f t="shared" si="28"/>
        <v>1833.7530399999998</v>
      </c>
      <c r="S58" s="1651">
        <f t="shared" si="28"/>
        <v>450.75</v>
      </c>
      <c r="T58" s="1650">
        <f t="shared" si="28"/>
        <v>197.54859999999999</v>
      </c>
      <c r="U58" s="1034">
        <f>SUM(U68,U77:U78,U79)</f>
        <v>2482.0516399999997</v>
      </c>
      <c r="V58" s="1035">
        <f>SUM(V68,V77:V78,V79,V80,V81)</f>
        <v>5519.9002800000007</v>
      </c>
      <c r="W58" s="1651">
        <f>SUM(W68,W77:W78,W79,W80,W81)</f>
        <v>2771.3173299999999</v>
      </c>
      <c r="X58" s="1650">
        <f>SUM(X68,X77:X78,X79,X80,X81)</f>
        <v>1052.9095500000001</v>
      </c>
      <c r="Y58" s="1034">
        <f t="shared" si="27"/>
        <v>9344.12716</v>
      </c>
      <c r="Z58" s="1650">
        <f>SUM(Z68,Z77:Z78,Z79,Z80,Z81)</f>
        <v>1684.9775300000001</v>
      </c>
      <c r="AA58" s="1034">
        <f t="shared" ref="AA58:AB58" si="29">SUM(AA68,AA77:AA78,AA79,AA80,AA81)</f>
        <v>0</v>
      </c>
      <c r="AB58" s="1650">
        <f t="shared" si="29"/>
        <v>0</v>
      </c>
      <c r="AC58" s="1034">
        <f>SUM(AC68,AC77:AC78,AC79,AC80,AC81)</f>
        <v>45274.481760000002</v>
      </c>
      <c r="AD58" s="1650">
        <f>SUM(AD68,AD77:AD78,AD79,AD80,AD81)</f>
        <v>7091.9671400000007</v>
      </c>
      <c r="AE58" s="1651">
        <f t="shared" ref="AE58:AF58" si="30">SUM(AE68,AE77:AE78,AE79,AE80,AE81)</f>
        <v>22580.72006</v>
      </c>
      <c r="AF58" s="1036">
        <f t="shared" si="30"/>
        <v>14652.54494</v>
      </c>
      <c r="AG58" s="1034">
        <f>SUM(AG68,AG77:AG78,AG79,AG80,AG81)</f>
        <v>44325.232139999993</v>
      </c>
      <c r="AH58" s="992"/>
      <c r="AI58" s="993"/>
      <c r="AJ58" s="994"/>
      <c r="AK58" s="1034">
        <f>SUM(AK68,AK77:AK78,AK79,AK80,AK81)</f>
        <v>27140.792270000002</v>
      </c>
      <c r="AL58" s="1035">
        <f t="shared" ref="AL58:AM58" si="31">SUM(AL68,AL77:AL78,AL79,AL80,AL81)</f>
        <v>0</v>
      </c>
      <c r="AM58" s="1034">
        <f t="shared" si="31"/>
        <v>0</v>
      </c>
      <c r="AN58" s="1036">
        <f>SUM(AN68,AN77:AN78)+AN79+AN80+AN81</f>
        <v>116740.50616999999</v>
      </c>
      <c r="AO58" s="1036">
        <f>SUM(AO68,AO77:AO78)+AO79+AO80+AO81</f>
        <v>138536.90860406175</v>
      </c>
      <c r="AP58" s="1036">
        <f t="shared" si="2"/>
        <v>-21796.402434061762</v>
      </c>
    </row>
    <row r="59" spans="1:42" s="998" customFormat="1" ht="10.5" customHeight="1">
      <c r="A59" s="1275" t="s">
        <v>613</v>
      </c>
      <c r="B59" s="2186">
        <v>1.601</v>
      </c>
      <c r="C59" s="982">
        <f>'[1]затраты вспом.'!C59</f>
        <v>0</v>
      </c>
      <c r="D59" s="982">
        <f>'[1]затраты вспом.'!D59</f>
        <v>0</v>
      </c>
      <c r="E59" s="982">
        <f>'[1]затраты вспом.'!E59</f>
        <v>0</v>
      </c>
      <c r="F59" s="982">
        <f>'[1]затраты вспом.'!F59</f>
        <v>0</v>
      </c>
      <c r="G59" s="982">
        <f>'[1]затраты вспом.'!G59</f>
        <v>0</v>
      </c>
      <c r="H59" s="983">
        <f>'[1]затраты вспом.'!H59</f>
        <v>0</v>
      </c>
      <c r="I59" s="2186">
        <v>0.153</v>
      </c>
      <c r="J59" s="2188">
        <v>0.13100000000000001</v>
      </c>
      <c r="K59" s="985"/>
      <c r="L59" s="983"/>
      <c r="M59" s="1657">
        <f t="shared" ref="M59:M62" si="32">SUM(J59:L59)</f>
        <v>0.13100000000000001</v>
      </c>
      <c r="N59" s="2204">
        <v>8.8032199999999996</v>
      </c>
      <c r="O59" s="982"/>
      <c r="P59" s="982"/>
      <c r="Q59" s="995">
        <f t="shared" ref="Q59:Q62" si="33">SUM(N59:P59)</f>
        <v>8.8032199999999996</v>
      </c>
      <c r="R59" s="2188">
        <v>1.74777</v>
      </c>
      <c r="S59" s="985"/>
      <c r="T59" s="983"/>
      <c r="U59" s="1657">
        <f t="shared" ref="U59:U62" si="34">SUM(R59:T59)</f>
        <v>1.74777</v>
      </c>
      <c r="V59" s="2188">
        <v>15.05936</v>
      </c>
      <c r="W59" s="985"/>
      <c r="X59" s="983"/>
      <c r="Y59" s="1657">
        <f t="shared" ref="Y59:Y62" si="35">SUM(V59:X59)</f>
        <v>15.05936</v>
      </c>
      <c r="Z59" s="2188">
        <v>1.7400199999999999</v>
      </c>
      <c r="AA59" s="1657"/>
      <c r="AB59" s="983"/>
      <c r="AC59" s="981">
        <f>B59+H59+I59+M59+Q59+U59+Y59+Z59+AA59+AB59</f>
        <v>29.235370000000003</v>
      </c>
      <c r="AD59" s="987"/>
      <c r="AE59" s="2205">
        <v>169.53505000000001</v>
      </c>
      <c r="AF59" s="1077"/>
      <c r="AG59" s="991">
        <f>SUM(AD59:AF59)</f>
        <v>169.53505000000001</v>
      </c>
      <c r="AH59" s="992"/>
      <c r="AI59" s="993"/>
      <c r="AJ59" s="994"/>
      <c r="AK59" s="2204">
        <v>62.390880000000003</v>
      </c>
      <c r="AL59" s="1040"/>
      <c r="AM59" s="995"/>
      <c r="AN59" s="1668">
        <f>AC59+AG59+AK59+AL59+AM59</f>
        <v>261.16129999999998</v>
      </c>
      <c r="AO59" s="1185">
        <f>'вспом. план'!AN59</f>
        <v>142.72084811032698</v>
      </c>
      <c r="AP59" s="1188">
        <f t="shared" si="2"/>
        <v>118.440451889673</v>
      </c>
    </row>
    <row r="60" spans="1:42" s="998" customFormat="1" ht="10.5" customHeight="1">
      <c r="A60" s="1275" t="s">
        <v>614</v>
      </c>
      <c r="B60" s="2186">
        <v>109.774</v>
      </c>
      <c r="C60" s="982">
        <f>'[1]затраты вспом.'!C60</f>
        <v>0</v>
      </c>
      <c r="D60" s="982">
        <f>'[1]затраты вспом.'!D60</f>
        <v>0</v>
      </c>
      <c r="E60" s="982">
        <f>'[1]затраты вспом.'!E60</f>
        <v>0</v>
      </c>
      <c r="F60" s="982">
        <f>'[1]затраты вспом.'!F60</f>
        <v>0</v>
      </c>
      <c r="G60" s="982">
        <f>'[1]затраты вспом.'!G60</f>
        <v>0</v>
      </c>
      <c r="H60" s="983">
        <f>'[1]затраты вспом.'!H60</f>
        <v>0</v>
      </c>
      <c r="I60" s="2186">
        <v>13.145</v>
      </c>
      <c r="J60" s="2188">
        <v>8.8687000000000005</v>
      </c>
      <c r="K60" s="985"/>
      <c r="L60" s="983"/>
      <c r="M60" s="1657">
        <f t="shared" si="32"/>
        <v>8.8687000000000005</v>
      </c>
      <c r="N60" s="2204">
        <v>615.90020000000004</v>
      </c>
      <c r="O60" s="982"/>
      <c r="P60" s="982"/>
      <c r="Q60" s="995">
        <f t="shared" si="33"/>
        <v>615.90020000000004</v>
      </c>
      <c r="R60" s="2188">
        <v>122.59685</v>
      </c>
      <c r="S60" s="985"/>
      <c r="T60" s="983"/>
      <c r="U60" s="1657">
        <f t="shared" si="34"/>
        <v>122.59685</v>
      </c>
      <c r="V60" s="2188">
        <v>382.34431000000001</v>
      </c>
      <c r="W60" s="985"/>
      <c r="X60" s="983"/>
      <c r="Y60" s="1657">
        <f t="shared" si="35"/>
        <v>382.34431000000001</v>
      </c>
      <c r="Z60" s="2188">
        <v>113.77337</v>
      </c>
      <c r="AA60" s="1657"/>
      <c r="AB60" s="983"/>
      <c r="AC60" s="981">
        <f>B60+H60+I60+M60+Q60+U60+Y60+Z60+AA60+AB60</f>
        <v>1366.4024300000001</v>
      </c>
      <c r="AD60" s="987"/>
      <c r="AE60" s="2205">
        <v>1727.8004000000001</v>
      </c>
      <c r="AF60" s="1077"/>
      <c r="AG60" s="991">
        <f>SUM(AD60:AF60)</f>
        <v>1727.8004000000001</v>
      </c>
      <c r="AH60" s="992"/>
      <c r="AI60" s="993"/>
      <c r="AJ60" s="994"/>
      <c r="AK60" s="2204">
        <v>616.16112999999996</v>
      </c>
      <c r="AL60" s="1040"/>
      <c r="AM60" s="995"/>
      <c r="AN60" s="1668">
        <f>AC60+AG60+AK60+AL60+AM60</f>
        <v>3710.3639600000001</v>
      </c>
      <c r="AO60" s="1185">
        <f>'вспом. план'!AN60</f>
        <v>4940.5785572976929</v>
      </c>
      <c r="AP60" s="1188">
        <f t="shared" si="2"/>
        <v>-1230.2145972976928</v>
      </c>
    </row>
    <row r="61" spans="1:42" s="998" customFormat="1" ht="10.5" customHeight="1">
      <c r="A61" s="1275" t="s">
        <v>615</v>
      </c>
      <c r="B61" s="2186">
        <v>10.500999999999999</v>
      </c>
      <c r="C61" s="982">
        <f>'[1]затраты вспом.'!C61</f>
        <v>0</v>
      </c>
      <c r="D61" s="982">
        <f>'[1]затраты вспом.'!D61</f>
        <v>0</v>
      </c>
      <c r="E61" s="982">
        <f>'[1]затраты вспом.'!E61</f>
        <v>0</v>
      </c>
      <c r="F61" s="982">
        <f>'[1]затраты вспом.'!F61</f>
        <v>0</v>
      </c>
      <c r="G61" s="982">
        <f>'[1]затраты вспом.'!G61</f>
        <v>0</v>
      </c>
      <c r="H61" s="983">
        <f>'[1]затраты вспом.'!H61</f>
        <v>0</v>
      </c>
      <c r="I61" s="2186">
        <v>0.88</v>
      </c>
      <c r="J61" s="2188">
        <v>0.77549999999999997</v>
      </c>
      <c r="K61" s="985"/>
      <c r="L61" s="983"/>
      <c r="M61" s="1657">
        <f t="shared" si="32"/>
        <v>0.77549999999999997</v>
      </c>
      <c r="N61" s="2204">
        <v>56.774639999999998</v>
      </c>
      <c r="O61" s="982"/>
      <c r="P61" s="982"/>
      <c r="Q61" s="995">
        <f t="shared" si="33"/>
        <v>56.774639999999998</v>
      </c>
      <c r="R61" s="2188">
        <v>11.538069999999999</v>
      </c>
      <c r="S61" s="985"/>
      <c r="T61" s="983"/>
      <c r="U61" s="1657">
        <f t="shared" si="34"/>
        <v>11.538069999999999</v>
      </c>
      <c r="V61" s="2188">
        <v>31.60136</v>
      </c>
      <c r="W61" s="985"/>
      <c r="X61" s="983"/>
      <c r="Y61" s="1657">
        <f t="shared" si="35"/>
        <v>31.60136</v>
      </c>
      <c r="Z61" s="2188">
        <v>10.609719999999999</v>
      </c>
      <c r="AA61" s="1657"/>
      <c r="AB61" s="983"/>
      <c r="AC61" s="981">
        <f>B61+H61+I61+M61+Q61+U61+Y61+Z61+AA61+AB61</f>
        <v>122.68029</v>
      </c>
      <c r="AD61" s="987"/>
      <c r="AE61" s="2205">
        <v>212.5591</v>
      </c>
      <c r="AF61" s="1077"/>
      <c r="AG61" s="991">
        <f>SUM(AD61:AF61)</f>
        <v>212.5591</v>
      </c>
      <c r="AH61" s="992"/>
      <c r="AI61" s="993"/>
      <c r="AJ61" s="994"/>
      <c r="AK61" s="2204">
        <v>69.919160000000005</v>
      </c>
      <c r="AL61" s="1040"/>
      <c r="AM61" s="995"/>
      <c r="AN61" s="1668">
        <f>AC61+AG61+AK61+AL61+AM61</f>
        <v>405.15854999999999</v>
      </c>
      <c r="AO61" s="1185">
        <f>'вспом. план'!AN61</f>
        <v>1340.1277743104129</v>
      </c>
      <c r="AP61" s="1188">
        <f t="shared" si="2"/>
        <v>-934.96922431041287</v>
      </c>
    </row>
    <row r="62" spans="1:42" s="998" customFormat="1" ht="10.5" customHeight="1">
      <c r="A62" s="1275" t="s">
        <v>616</v>
      </c>
      <c r="B62" s="2186">
        <v>268.851</v>
      </c>
      <c r="C62" s="982">
        <f>'[1]затраты вспом.'!C62</f>
        <v>0</v>
      </c>
      <c r="D62" s="982">
        <f>'[1]затраты вспом.'!D62</f>
        <v>0</v>
      </c>
      <c r="E62" s="982">
        <f>'[1]затраты вспом.'!E62</f>
        <v>0</v>
      </c>
      <c r="F62" s="982">
        <f>'[1]затраты вспом.'!F62</f>
        <v>0</v>
      </c>
      <c r="G62" s="982">
        <f>'[1]затраты вспом.'!G62</f>
        <v>0</v>
      </c>
      <c r="H62" s="983">
        <f>'[1]затраты вспом.'!H62</f>
        <v>0</v>
      </c>
      <c r="I62" s="2186">
        <v>51.943800000000003</v>
      </c>
      <c r="J62" s="2188">
        <v>21.585999999999999</v>
      </c>
      <c r="K62" s="985"/>
      <c r="L62" s="983"/>
      <c r="M62" s="1657">
        <f t="shared" si="32"/>
        <v>21.585999999999999</v>
      </c>
      <c r="N62" s="2204">
        <v>1633.92967</v>
      </c>
      <c r="O62" s="982"/>
      <c r="P62" s="982"/>
      <c r="Q62" s="995">
        <f t="shared" si="33"/>
        <v>1633.92967</v>
      </c>
      <c r="R62" s="2188">
        <v>318.12646999999998</v>
      </c>
      <c r="S62" s="985"/>
      <c r="T62" s="983"/>
      <c r="U62" s="1657">
        <f t="shared" si="34"/>
        <v>318.12646999999998</v>
      </c>
      <c r="V62" s="2188">
        <v>984.74802</v>
      </c>
      <c r="W62" s="985"/>
      <c r="X62" s="983"/>
      <c r="Y62" s="1657">
        <f t="shared" si="35"/>
        <v>984.74802</v>
      </c>
      <c r="Z62" s="2188">
        <v>293.57695999999999</v>
      </c>
      <c r="AA62" s="1657"/>
      <c r="AB62" s="983"/>
      <c r="AC62" s="981">
        <f>B62+H62+I62+M62+Q62+U62+Y62+Z62+AA62+AB62</f>
        <v>3572.7619199999999</v>
      </c>
      <c r="AD62" s="987"/>
      <c r="AE62" s="2205">
        <v>4881.6735099999996</v>
      </c>
      <c r="AF62" s="1077"/>
      <c r="AG62" s="991">
        <f>SUM(AD62:AF62)</f>
        <v>4881.6735099999996</v>
      </c>
      <c r="AH62" s="992"/>
      <c r="AI62" s="993"/>
      <c r="AJ62" s="994"/>
      <c r="AK62" s="2204">
        <v>1747.9300599999999</v>
      </c>
      <c r="AL62" s="1040"/>
      <c r="AM62" s="995"/>
      <c r="AN62" s="1668">
        <f>AC62+AG62+AK62+AL62+AM62</f>
        <v>10202.36549</v>
      </c>
      <c r="AO62" s="1185">
        <f>'вспом. план'!AN62</f>
        <v>9629.3133975512974</v>
      </c>
      <c r="AP62" s="1188">
        <f t="shared" si="2"/>
        <v>573.05209244870275</v>
      </c>
    </row>
    <row r="63" spans="1:42" s="998" customFormat="1" ht="9.75" customHeight="1">
      <c r="A63" s="980" t="s">
        <v>407</v>
      </c>
      <c r="B63" s="995">
        <f>SUM(B59:B62)</f>
        <v>390.72699999999998</v>
      </c>
      <c r="C63" s="987"/>
      <c r="D63" s="988"/>
      <c r="E63" s="988"/>
      <c r="F63" s="988"/>
      <c r="G63" s="996"/>
      <c r="H63" s="1040"/>
      <c r="I63" s="995">
        <f>SUM(I59:I62)</f>
        <v>66.121800000000007</v>
      </c>
      <c r="J63" s="987">
        <f t="shared" ref="J63:N63" si="36">SUM(J59:J62)</f>
        <v>31.361199999999997</v>
      </c>
      <c r="K63" s="988">
        <f t="shared" si="36"/>
        <v>0</v>
      </c>
      <c r="L63" s="987">
        <f t="shared" si="36"/>
        <v>0</v>
      </c>
      <c r="M63" s="995">
        <f t="shared" si="36"/>
        <v>31.361199999999997</v>
      </c>
      <c r="N63" s="987">
        <f t="shared" si="36"/>
        <v>2315.4077299999999</v>
      </c>
      <c r="O63" s="988"/>
      <c r="P63" s="996"/>
      <c r="Q63" s="995">
        <f t="shared" ref="Q63:R63" si="37">SUM(Q59:Q62)</f>
        <v>2315.4077299999999</v>
      </c>
      <c r="R63" s="987">
        <f t="shared" si="37"/>
        <v>454.00915999999995</v>
      </c>
      <c r="S63" s="988"/>
      <c r="T63" s="987"/>
      <c r="U63" s="995">
        <f t="shared" ref="U63:V63" si="38">SUM(U59:U62)</f>
        <v>454.00915999999995</v>
      </c>
      <c r="V63" s="1040">
        <f t="shared" si="38"/>
        <v>1413.75305</v>
      </c>
      <c r="W63" s="988"/>
      <c r="X63" s="987"/>
      <c r="Y63" s="995">
        <f t="shared" ref="Y63:Z63" si="39">SUM(Y59:Y62)</f>
        <v>1413.75305</v>
      </c>
      <c r="Z63" s="987">
        <f t="shared" si="39"/>
        <v>419.70006999999998</v>
      </c>
      <c r="AA63" s="995"/>
      <c r="AB63" s="987"/>
      <c r="AC63" s="995">
        <f>SUM(AC59:AC62)</f>
        <v>5091.0800099999997</v>
      </c>
      <c r="AD63" s="987">
        <f t="shared" ref="AD63:AO63" si="40">SUM(AD59:AD62)</f>
        <v>0</v>
      </c>
      <c r="AE63" s="988">
        <f t="shared" si="40"/>
        <v>6991.5680599999996</v>
      </c>
      <c r="AF63" s="1006"/>
      <c r="AG63" s="995">
        <f t="shared" si="40"/>
        <v>6991.5680599999996</v>
      </c>
      <c r="AH63" s="992"/>
      <c r="AI63" s="993"/>
      <c r="AJ63" s="994"/>
      <c r="AK63" s="1006">
        <f t="shared" si="40"/>
        <v>2496.4012299999999</v>
      </c>
      <c r="AL63" s="1040">
        <f t="shared" si="40"/>
        <v>0</v>
      </c>
      <c r="AM63" s="995">
        <f t="shared" si="40"/>
        <v>0</v>
      </c>
      <c r="AN63" s="1669">
        <f t="shared" si="40"/>
        <v>14579.049300000001</v>
      </c>
      <c r="AO63" s="995">
        <f t="shared" si="40"/>
        <v>16052.740577269731</v>
      </c>
      <c r="AP63" s="995">
        <f t="shared" si="2"/>
        <v>-1473.6912772697306</v>
      </c>
    </row>
    <row r="64" spans="1:42" s="998" customFormat="1" ht="10.5" customHeight="1">
      <c r="A64" s="1275" t="s">
        <v>617</v>
      </c>
      <c r="B64" s="2186">
        <v>32.048000000000002</v>
      </c>
      <c r="C64" s="982">
        <f>'[1]затраты вспом.'!C64</f>
        <v>0</v>
      </c>
      <c r="D64" s="982">
        <f>'[1]затраты вспом.'!D64</f>
        <v>0</v>
      </c>
      <c r="E64" s="982">
        <f>'[1]затраты вспом.'!E64</f>
        <v>0</v>
      </c>
      <c r="F64" s="982">
        <f>'[1]затраты вспом.'!F64</f>
        <v>0</v>
      </c>
      <c r="G64" s="982">
        <f>'[1]затраты вспом.'!G64</f>
        <v>0</v>
      </c>
      <c r="H64" s="983">
        <f>'[1]затраты вспом.'!H64</f>
        <v>0</v>
      </c>
      <c r="I64" s="2186">
        <v>6.4829999999999997</v>
      </c>
      <c r="J64" s="2188">
        <v>35.441929999999999</v>
      </c>
      <c r="K64" s="985"/>
      <c r="L64" s="983"/>
      <c r="M64" s="1657">
        <f t="shared" ref="M64:M67" si="41">SUM(J64:L64)</f>
        <v>35.441929999999999</v>
      </c>
      <c r="N64" s="2204">
        <v>166.27207999999999</v>
      </c>
      <c r="O64" s="982"/>
      <c r="P64" s="982"/>
      <c r="Q64" s="995">
        <f t="shared" ref="Q64:Q67" si="42">SUM(N64:P64)</f>
        <v>166.27207999999999</v>
      </c>
      <c r="R64" s="2188">
        <v>32.925280000000001</v>
      </c>
      <c r="S64" s="985"/>
      <c r="T64" s="983"/>
      <c r="U64" s="1657">
        <f t="shared" ref="U64:U67" si="43">SUM(R64:T64)</f>
        <v>32.925280000000001</v>
      </c>
      <c r="V64" s="2188">
        <v>89.621629999999996</v>
      </c>
      <c r="W64" s="985"/>
      <c r="X64" s="983"/>
      <c r="Y64" s="1657">
        <f t="shared" ref="Y64:Y67" si="44">SUM(V64:X64)</f>
        <v>89.621629999999996</v>
      </c>
      <c r="Z64" s="2188">
        <v>28.820730000000001</v>
      </c>
      <c r="AA64" s="1657"/>
      <c r="AB64" s="983"/>
      <c r="AC64" s="981">
        <f>B64+H64+I64+M64+Q64+U64+Y64+Z64+AA64+AB64</f>
        <v>391.61264999999997</v>
      </c>
      <c r="AD64" s="987"/>
      <c r="AE64" s="2205">
        <v>600.65794000000005</v>
      </c>
      <c r="AF64" s="1077"/>
      <c r="AG64" s="991">
        <f>SUM(AD64:AF64)</f>
        <v>600.65794000000005</v>
      </c>
      <c r="AH64" s="992"/>
      <c r="AI64" s="993"/>
      <c r="AJ64" s="994"/>
      <c r="AK64" s="2204">
        <v>214.93483000000001</v>
      </c>
      <c r="AL64" s="1040"/>
      <c r="AM64" s="995"/>
      <c r="AN64" s="1668">
        <f>AC64+AG64+AK64+AL64+AM64</f>
        <v>1207.20542</v>
      </c>
      <c r="AO64" s="1185">
        <f>'вспом. план'!AN64</f>
        <v>2427.5065606262342</v>
      </c>
      <c r="AP64" s="1188">
        <f t="shared" si="2"/>
        <v>-1220.3011406262342</v>
      </c>
    </row>
    <row r="65" spans="1:42" s="998" customFormat="1" ht="10.5" customHeight="1">
      <c r="A65" s="1275" t="s">
        <v>618</v>
      </c>
      <c r="B65" s="2186">
        <v>517.92700000000002</v>
      </c>
      <c r="C65" s="982">
        <f>'[1]затраты вспом.'!C65</f>
        <v>0</v>
      </c>
      <c r="D65" s="982">
        <f>'[1]затраты вспом.'!D65</f>
        <v>0</v>
      </c>
      <c r="E65" s="982">
        <f>'[1]затраты вспом.'!E65</f>
        <v>0</v>
      </c>
      <c r="F65" s="982">
        <f>'[1]затраты вспом.'!F65</f>
        <v>0</v>
      </c>
      <c r="G65" s="982">
        <f>'[1]затраты вспом.'!G65</f>
        <v>0</v>
      </c>
      <c r="H65" s="983">
        <f>'[1]затраты вспом.'!H65</f>
        <v>0</v>
      </c>
      <c r="I65" s="2186">
        <v>64.933999999999997</v>
      </c>
      <c r="J65" s="2188">
        <v>42.307000000000002</v>
      </c>
      <c r="K65" s="985"/>
      <c r="L65" s="983"/>
      <c r="M65" s="1657">
        <f t="shared" si="41"/>
        <v>42.307000000000002</v>
      </c>
      <c r="N65" s="2204">
        <v>3041.4046699999999</v>
      </c>
      <c r="O65" s="982"/>
      <c r="P65" s="982"/>
      <c r="Q65" s="995">
        <f t="shared" si="42"/>
        <v>3041.4046699999999</v>
      </c>
      <c r="R65" s="2188">
        <v>585.62992999999994</v>
      </c>
      <c r="S65" s="985"/>
      <c r="T65" s="983"/>
      <c r="U65" s="1657">
        <f t="shared" si="43"/>
        <v>585.62992999999994</v>
      </c>
      <c r="V65" s="2188">
        <v>1771.3965800000001</v>
      </c>
      <c r="W65" s="985"/>
      <c r="X65" s="983"/>
      <c r="Y65" s="1657">
        <f t="shared" si="44"/>
        <v>1771.3965800000001</v>
      </c>
      <c r="Z65" s="2188">
        <v>549.32141999999999</v>
      </c>
      <c r="AA65" s="1657"/>
      <c r="AB65" s="983"/>
      <c r="AC65" s="981">
        <f>B65+H65+I65+M65+Q65+U65+Y65+Z65+AA65+AB65</f>
        <v>6572.9205999999995</v>
      </c>
      <c r="AD65" s="987"/>
      <c r="AE65" s="2205">
        <v>7114.0773799999997</v>
      </c>
      <c r="AF65" s="1077"/>
      <c r="AG65" s="991">
        <f>SUM(AD65:AF65)</f>
        <v>7114.0773799999997</v>
      </c>
      <c r="AH65" s="992"/>
      <c r="AI65" s="993"/>
      <c r="AJ65" s="994"/>
      <c r="AK65" s="2204">
        <v>2533.8786300000002</v>
      </c>
      <c r="AL65" s="1040"/>
      <c r="AM65" s="995"/>
      <c r="AN65" s="1668">
        <f>AC65+AG65+AK65+AL65+AM65</f>
        <v>16220.876609999999</v>
      </c>
      <c r="AO65" s="1185">
        <f>'вспом. план'!AN65</f>
        <v>16549.916442000565</v>
      </c>
      <c r="AP65" s="1188">
        <f t="shared" si="2"/>
        <v>-329.03983200056609</v>
      </c>
    </row>
    <row r="66" spans="1:42" s="998" customFormat="1" ht="10.5" customHeight="1">
      <c r="A66" s="1275" t="s">
        <v>619</v>
      </c>
      <c r="B66" s="2186">
        <v>656.48599999999999</v>
      </c>
      <c r="C66" s="982">
        <f>'[1]затраты вспом.'!C66</f>
        <v>0</v>
      </c>
      <c r="D66" s="982">
        <f>'[1]затраты вспом.'!D66</f>
        <v>0</v>
      </c>
      <c r="E66" s="982">
        <f>'[1]затраты вспом.'!E66</f>
        <v>0</v>
      </c>
      <c r="F66" s="982">
        <f>'[1]затраты вспом.'!F66</f>
        <v>0</v>
      </c>
      <c r="G66" s="982">
        <f>'[1]затраты вспом.'!G66</f>
        <v>0</v>
      </c>
      <c r="H66" s="983">
        <f>'[1]затраты вспом.'!H66</f>
        <v>0</v>
      </c>
      <c r="I66" s="2186">
        <v>81.958200000000005</v>
      </c>
      <c r="J66" s="2188">
        <v>48.896000000000001</v>
      </c>
      <c r="K66" s="985"/>
      <c r="L66" s="983"/>
      <c r="M66" s="1657">
        <f t="shared" si="41"/>
        <v>48.896000000000001</v>
      </c>
      <c r="N66" s="2204">
        <v>3785.1275700000001</v>
      </c>
      <c r="O66" s="982"/>
      <c r="P66" s="982"/>
      <c r="Q66" s="995">
        <f t="shared" si="42"/>
        <v>3785.1275700000001</v>
      </c>
      <c r="R66" s="2188">
        <v>741.64266999999995</v>
      </c>
      <c r="S66" s="985"/>
      <c r="T66" s="983"/>
      <c r="U66" s="1657">
        <f t="shared" si="43"/>
        <v>741.64266999999995</v>
      </c>
      <c r="V66" s="2188">
        <v>2245.1290199999999</v>
      </c>
      <c r="W66" s="985"/>
      <c r="X66" s="983"/>
      <c r="Y66" s="1657">
        <f t="shared" si="44"/>
        <v>2245.1290199999999</v>
      </c>
      <c r="Z66" s="2188">
        <v>687.13531</v>
      </c>
      <c r="AA66" s="1657"/>
      <c r="AB66" s="983"/>
      <c r="AC66" s="981">
        <f>B66+H66+I66+M66+Q66+U66+Y66+Z66+AA66+AB66</f>
        <v>8246.3747700000004</v>
      </c>
      <c r="AD66" s="987"/>
      <c r="AE66" s="2205">
        <v>7874.4166800000003</v>
      </c>
      <c r="AF66" s="1077"/>
      <c r="AG66" s="991">
        <f>SUM(AD66:AF66)</f>
        <v>7874.4166800000003</v>
      </c>
      <c r="AH66" s="992"/>
      <c r="AI66" s="993"/>
      <c r="AJ66" s="994"/>
      <c r="AK66" s="2204">
        <v>2832.4257600000001</v>
      </c>
      <c r="AL66" s="1040"/>
      <c r="AM66" s="995"/>
      <c r="AN66" s="1668">
        <f>AC66+AG66+AK66+AL66+AM66</f>
        <v>18953.217210000003</v>
      </c>
      <c r="AO66" s="1185">
        <f>'вспом. план'!AN66</f>
        <v>21816.51745645194</v>
      </c>
      <c r="AP66" s="1188">
        <f t="shared" si="2"/>
        <v>-2863.3002464519377</v>
      </c>
    </row>
    <row r="67" spans="1:42" s="998" customFormat="1" ht="11.25" thickBot="1">
      <c r="A67" s="980" t="s">
        <v>408</v>
      </c>
      <c r="B67" s="999">
        <f t="shared" ref="B67:AN67" si="45">SUM(B64:B66)</f>
        <v>1206.461</v>
      </c>
      <c r="C67" s="1000"/>
      <c r="D67" s="1000"/>
      <c r="E67" s="1000"/>
      <c r="F67" s="1000"/>
      <c r="G67" s="1001"/>
      <c r="H67" s="992">
        <f t="shared" si="45"/>
        <v>0</v>
      </c>
      <c r="I67" s="999">
        <f t="shared" ref="I67:L67" si="46">SUM(I64:I66)</f>
        <v>153.37520000000001</v>
      </c>
      <c r="J67" s="993">
        <f t="shared" si="46"/>
        <v>126.64493</v>
      </c>
      <c r="K67" s="988">
        <f t="shared" si="46"/>
        <v>0</v>
      </c>
      <c r="L67" s="993">
        <f t="shared" si="46"/>
        <v>0</v>
      </c>
      <c r="M67" s="1657">
        <f t="shared" si="41"/>
        <v>126.64493</v>
      </c>
      <c r="N67" s="993">
        <f t="shared" ref="N67" si="47">SUM(N64:N66)</f>
        <v>6992.8043200000002</v>
      </c>
      <c r="O67" s="1002"/>
      <c r="P67" s="994"/>
      <c r="Q67" s="995">
        <f t="shared" si="42"/>
        <v>6992.8043200000002</v>
      </c>
      <c r="R67" s="993">
        <f t="shared" ref="R67" si="48">SUM(R64:R66)</f>
        <v>1360.1978799999999</v>
      </c>
      <c r="S67" s="1002"/>
      <c r="T67" s="993"/>
      <c r="U67" s="1657">
        <f t="shared" si="43"/>
        <v>1360.1978799999999</v>
      </c>
      <c r="V67" s="992">
        <f t="shared" ref="V67" si="49">SUM(V64:V66)</f>
        <v>4106.1472300000005</v>
      </c>
      <c r="W67" s="1002"/>
      <c r="X67" s="993"/>
      <c r="Y67" s="1657">
        <f t="shared" si="44"/>
        <v>4106.1472300000005</v>
      </c>
      <c r="Z67" s="1001">
        <f>SUM(Z64:Z66)</f>
        <v>1265.27746</v>
      </c>
      <c r="AA67" s="1657"/>
      <c r="AB67" s="1001"/>
      <c r="AC67" s="999">
        <f t="shared" si="45"/>
        <v>15210.908019999999</v>
      </c>
      <c r="AD67" s="993">
        <f t="shared" si="45"/>
        <v>0</v>
      </c>
      <c r="AE67" s="1662">
        <f t="shared" si="45"/>
        <v>15589.152</v>
      </c>
      <c r="AF67" s="1661"/>
      <c r="AG67" s="999">
        <f t="shared" si="45"/>
        <v>15589.152</v>
      </c>
      <c r="AH67" s="992"/>
      <c r="AI67" s="993"/>
      <c r="AJ67" s="994"/>
      <c r="AK67" s="1803">
        <f t="shared" si="45"/>
        <v>5581.2392200000004</v>
      </c>
      <c r="AL67" s="1804">
        <f t="shared" si="45"/>
        <v>0</v>
      </c>
      <c r="AM67" s="1803">
        <f t="shared" si="45"/>
        <v>0</v>
      </c>
      <c r="AN67" s="1805">
        <f t="shared" si="45"/>
        <v>36381.29924</v>
      </c>
      <c r="AO67" s="1803">
        <f>SUM(AO64:AO66)</f>
        <v>40793.940459078738</v>
      </c>
      <c r="AP67" s="1803">
        <f t="shared" si="2"/>
        <v>-4412.6412190787378</v>
      </c>
    </row>
    <row r="68" spans="1:42" s="1291" customFormat="1" ht="11.25" thickBot="1">
      <c r="A68" s="1277" t="s">
        <v>612</v>
      </c>
      <c r="B68" s="1278">
        <f t="shared" ref="B68:Y68" si="50">B63+B67</f>
        <v>1597.1880000000001</v>
      </c>
      <c r="C68" s="1279">
        <f>C54-C77-C78-C82-C90-C109-C113-C114-C115-C116</f>
        <v>0</v>
      </c>
      <c r="D68" s="1279">
        <f t="shared" ref="D68:F68" si="51">D54-D77-D78-D82-D90-D109-D113-D114-D115-D116</f>
        <v>0</v>
      </c>
      <c r="E68" s="1279">
        <f t="shared" si="51"/>
        <v>0</v>
      </c>
      <c r="F68" s="1279">
        <f t="shared" si="51"/>
        <v>0</v>
      </c>
      <c r="G68" s="1279">
        <f>G54-G77-G78-G82-G90-G109-G113-G114-G115-G116</f>
        <v>0</v>
      </c>
      <c r="H68" s="1280">
        <f t="shared" si="50"/>
        <v>0</v>
      </c>
      <c r="I68" s="1278">
        <f t="shared" si="50"/>
        <v>219.49700000000001</v>
      </c>
      <c r="J68" s="1283">
        <f>J63+J67</f>
        <v>158.00612999999998</v>
      </c>
      <c r="K68" s="1281">
        <f t="shared" si="50"/>
        <v>0</v>
      </c>
      <c r="L68" s="1283">
        <f t="shared" si="50"/>
        <v>0</v>
      </c>
      <c r="M68" s="1278">
        <f t="shared" si="50"/>
        <v>158.00612999999998</v>
      </c>
      <c r="N68" s="1283">
        <f t="shared" si="50"/>
        <v>9308.2120500000001</v>
      </c>
      <c r="O68" s="1281">
        <f t="shared" si="50"/>
        <v>0</v>
      </c>
      <c r="P68" s="1281">
        <f t="shared" si="50"/>
        <v>0</v>
      </c>
      <c r="Q68" s="1278">
        <f t="shared" si="50"/>
        <v>9308.2120500000001</v>
      </c>
      <c r="R68" s="1280">
        <f t="shared" si="50"/>
        <v>1814.2070399999998</v>
      </c>
      <c r="S68" s="1281">
        <f t="shared" si="50"/>
        <v>0</v>
      </c>
      <c r="T68" s="1283">
        <f t="shared" si="50"/>
        <v>0</v>
      </c>
      <c r="U68" s="1278">
        <f t="shared" si="50"/>
        <v>1814.2070399999998</v>
      </c>
      <c r="V68" s="1280">
        <f>V63+V67</f>
        <v>5519.9002800000007</v>
      </c>
      <c r="W68" s="1281">
        <f t="shared" si="50"/>
        <v>0</v>
      </c>
      <c r="X68" s="1283">
        <f t="shared" si="50"/>
        <v>0</v>
      </c>
      <c r="Y68" s="1278">
        <f t="shared" si="50"/>
        <v>5519.9002800000007</v>
      </c>
      <c r="Z68" s="1283">
        <f>Z63+Z67</f>
        <v>1684.9775300000001</v>
      </c>
      <c r="AA68" s="1278">
        <f>AA63+AA67</f>
        <v>0</v>
      </c>
      <c r="AB68" s="1283">
        <f>AB63+AB67</f>
        <v>0</v>
      </c>
      <c r="AC68" s="1278">
        <f>B68+H68+I68+M68+Q68+U68+Y68+Z68+AA68+AB68</f>
        <v>20301.98803</v>
      </c>
      <c r="AD68" s="1283">
        <f>AD63+AD67</f>
        <v>0</v>
      </c>
      <c r="AE68" s="1281">
        <f>AE63+AE67</f>
        <v>22580.72006</v>
      </c>
      <c r="AF68" s="1283">
        <f>AF63+AF67</f>
        <v>0</v>
      </c>
      <c r="AG68" s="1278">
        <f>SUM(AD68:AE68)</f>
        <v>22580.72006</v>
      </c>
      <c r="AH68" s="1287"/>
      <c r="AI68" s="1287"/>
      <c r="AJ68" s="1287"/>
      <c r="AK68" s="1284">
        <f>AK63+AK67</f>
        <v>8077.6404500000008</v>
      </c>
      <c r="AL68" s="1286">
        <f>AL63+AL67</f>
        <v>0</v>
      </c>
      <c r="AM68" s="1278">
        <f>AM63+AM67</f>
        <v>0</v>
      </c>
      <c r="AN68" s="1279">
        <f>AC68+AG68+AK68+AL68+AM68</f>
        <v>50960.348539999999</v>
      </c>
      <c r="AO68" s="1682">
        <f>AO63+AO67</f>
        <v>56846.681036348469</v>
      </c>
      <c r="AP68" s="1183">
        <f t="shared" si="2"/>
        <v>-5886.3324963484702</v>
      </c>
    </row>
    <row r="69" spans="1:42" s="1018" customFormat="1">
      <c r="A69" s="1275" t="s">
        <v>613</v>
      </c>
      <c r="B69" s="981"/>
      <c r="C69" s="1043"/>
      <c r="D69" s="1043"/>
      <c r="E69" s="1043"/>
      <c r="F69" s="1043"/>
      <c r="G69" s="1044"/>
      <c r="H69" s="1646">
        <f t="shared" ref="H69:H75" si="52">SUM(C69:G69)</f>
        <v>0</v>
      </c>
      <c r="I69" s="2186">
        <v>0.46400000000000002</v>
      </c>
      <c r="J69" s="2188">
        <v>2.8000000000000001E-2</v>
      </c>
      <c r="K69" s="1069"/>
      <c r="L69" s="983"/>
      <c r="M69" s="981">
        <f t="shared" ref="M69:M72" si="53">SUM(J69:L69)</f>
        <v>2.8000000000000001E-2</v>
      </c>
      <c r="N69" s="983"/>
      <c r="O69" s="2205">
        <v>8.0726200000000006</v>
      </c>
      <c r="P69" s="1077"/>
      <c r="Q69" s="991">
        <f t="shared" ref="Q69:Q75" si="54">SUM(N69:P69)</f>
        <v>8.0726200000000006</v>
      </c>
      <c r="R69" s="1045"/>
      <c r="S69" s="2205">
        <v>0.48298000000000002</v>
      </c>
      <c r="T69" s="1045"/>
      <c r="U69" s="991">
        <f t="shared" ref="U69:U75" si="55">SUM(R69:T69)</f>
        <v>0.48298000000000002</v>
      </c>
      <c r="V69" s="1660"/>
      <c r="W69" s="2205">
        <v>3.0864199999999999</v>
      </c>
      <c r="X69" s="1045"/>
      <c r="Y69" s="991">
        <f>SUM(V69:X69)</f>
        <v>3.0864199999999999</v>
      </c>
      <c r="Z69" s="1045"/>
      <c r="AA69" s="991"/>
      <c r="AB69" s="1045"/>
      <c r="AC69" s="991">
        <f>B69+H69+I69+M69+Q69+U69+Y69+Z69+AA69+AB69</f>
        <v>12.134020000000001</v>
      </c>
      <c r="AD69" s="1045"/>
      <c r="AE69" s="1048"/>
      <c r="AF69" s="2223">
        <v>156.93654000000001</v>
      </c>
      <c r="AG69" s="991">
        <f>SUM(AD69:AF69)</f>
        <v>156.93654000000001</v>
      </c>
      <c r="AH69" s="1049"/>
      <c r="AI69" s="1016"/>
      <c r="AJ69" s="1017"/>
      <c r="AK69" s="2229">
        <v>101.86453</v>
      </c>
      <c r="AL69" s="1660"/>
      <c r="AM69" s="1050"/>
      <c r="AN69" s="1668">
        <f>AC69+AG69+AK69+AL69+AM69</f>
        <v>270.93509</v>
      </c>
      <c r="AO69" s="1678">
        <f>'вспом. план'!AN69</f>
        <v>129.25471383833261</v>
      </c>
      <c r="AP69" s="1186">
        <f t="shared" si="2"/>
        <v>141.6803761616674</v>
      </c>
    </row>
    <row r="70" spans="1:42" s="1018" customFormat="1">
      <c r="A70" s="1275" t="s">
        <v>622</v>
      </c>
      <c r="B70" s="981"/>
      <c r="C70" s="1043"/>
      <c r="D70" s="1043"/>
      <c r="E70" s="1043"/>
      <c r="F70" s="1043"/>
      <c r="G70" s="1044"/>
      <c r="H70" s="1646">
        <f t="shared" si="52"/>
        <v>0</v>
      </c>
      <c r="I70" s="2186">
        <v>44.268999999999998</v>
      </c>
      <c r="J70" s="2188">
        <v>2.589</v>
      </c>
      <c r="K70" s="985"/>
      <c r="L70" s="983"/>
      <c r="M70" s="981">
        <f t="shared" si="53"/>
        <v>2.589</v>
      </c>
      <c r="N70" s="983"/>
      <c r="O70" s="2205">
        <v>777.03871000000004</v>
      </c>
      <c r="P70" s="1077"/>
      <c r="Q70" s="991">
        <f t="shared" si="54"/>
        <v>777.03871000000004</v>
      </c>
      <c r="R70" s="1045"/>
      <c r="S70" s="2205">
        <v>46.810470000000002</v>
      </c>
      <c r="T70" s="1045"/>
      <c r="U70" s="991">
        <f t="shared" si="55"/>
        <v>46.810470000000002</v>
      </c>
      <c r="V70" s="1660"/>
      <c r="W70" s="2205">
        <v>296.26128</v>
      </c>
      <c r="X70" s="1045"/>
      <c r="Y70" s="991">
        <f>SUM(V70:X70)</f>
        <v>296.26128</v>
      </c>
      <c r="Z70" s="1045"/>
      <c r="AA70" s="991"/>
      <c r="AB70" s="1045"/>
      <c r="AC70" s="991">
        <f>B70+H70+I70+M70+Q70+U70+Y70+Z70+AA70+AB70</f>
        <v>1166.9684600000001</v>
      </c>
      <c r="AD70" s="1045"/>
      <c r="AE70" s="1048"/>
      <c r="AF70" s="2223">
        <v>1617.9802</v>
      </c>
      <c r="AG70" s="991">
        <f>SUM(AD70:AF70)</f>
        <v>1617.9802</v>
      </c>
      <c r="AH70" s="1049"/>
      <c r="AI70" s="1016"/>
      <c r="AJ70" s="1017"/>
      <c r="AK70" s="2229">
        <v>909.65413000000001</v>
      </c>
      <c r="AL70" s="1660"/>
      <c r="AM70" s="1050"/>
      <c r="AN70" s="1668">
        <f>AC70+AG70+AK70+AL70+AM70</f>
        <v>3694.6027899999999</v>
      </c>
      <c r="AO70" s="1678">
        <f>'вспом. план'!AN70</f>
        <v>5498.0776636635492</v>
      </c>
      <c r="AP70" s="1186">
        <f t="shared" ref="AP70:AP116" si="56">AN70-AO70</f>
        <v>-1803.4748736635493</v>
      </c>
    </row>
    <row r="71" spans="1:42" s="1018" customFormat="1">
      <c r="A71" s="1275" t="s">
        <v>615</v>
      </c>
      <c r="B71" s="981"/>
      <c r="C71" s="1043"/>
      <c r="D71" s="1043"/>
      <c r="E71" s="1043"/>
      <c r="F71" s="1043"/>
      <c r="G71" s="1044"/>
      <c r="H71" s="1646">
        <f t="shared" si="52"/>
        <v>0</v>
      </c>
      <c r="I71" s="2186">
        <v>11.000999999999999</v>
      </c>
      <c r="J71" s="2188">
        <v>0.66500000000000004</v>
      </c>
      <c r="K71" s="985"/>
      <c r="L71" s="983"/>
      <c r="M71" s="981">
        <f t="shared" si="53"/>
        <v>0.66500000000000004</v>
      </c>
      <c r="N71" s="983"/>
      <c r="O71" s="2205">
        <v>199.52295000000001</v>
      </c>
      <c r="P71" s="1077"/>
      <c r="Q71" s="991">
        <f t="shared" si="54"/>
        <v>199.52295000000001</v>
      </c>
      <c r="R71" s="1045"/>
      <c r="S71" s="2205">
        <v>12.39209</v>
      </c>
      <c r="T71" s="1045"/>
      <c r="U71" s="991">
        <f t="shared" si="55"/>
        <v>12.39209</v>
      </c>
      <c r="V71" s="1660"/>
      <c r="W71" s="2205">
        <v>75.959410000000005</v>
      </c>
      <c r="X71" s="1045"/>
      <c r="Y71" s="991">
        <f>SUM(V71:X71)</f>
        <v>75.959410000000005</v>
      </c>
      <c r="Z71" s="1045"/>
      <c r="AA71" s="991"/>
      <c r="AB71" s="1045"/>
      <c r="AC71" s="991">
        <f>B71+H71+I71+M71+Q71+U71+Y71+Z71+AA71+AB71</f>
        <v>299.54045000000002</v>
      </c>
      <c r="AD71" s="1045"/>
      <c r="AE71" s="1048"/>
      <c r="AF71" s="2223">
        <v>870.32962999999995</v>
      </c>
      <c r="AG71" s="991">
        <f>SUM(AD71:AF71)</f>
        <v>870.32962999999995</v>
      </c>
      <c r="AH71" s="1049"/>
      <c r="AI71" s="1016"/>
      <c r="AJ71" s="1017"/>
      <c r="AK71" s="2229">
        <v>562.71681000000001</v>
      </c>
      <c r="AL71" s="1660"/>
      <c r="AM71" s="1050"/>
      <c r="AN71" s="1668">
        <f>AC71+AG71+AK71+AL71+AM71</f>
        <v>1732.58689</v>
      </c>
      <c r="AO71" s="1678">
        <f>'вспом. план'!AN71</f>
        <v>2855.3894555471916</v>
      </c>
      <c r="AP71" s="1186">
        <f t="shared" si="56"/>
        <v>-1122.8025655471915</v>
      </c>
    </row>
    <row r="72" spans="1:42" s="1018" customFormat="1">
      <c r="A72" s="1275" t="s">
        <v>616</v>
      </c>
      <c r="B72" s="981"/>
      <c r="C72" s="1043"/>
      <c r="D72" s="1043"/>
      <c r="E72" s="1043"/>
      <c r="F72" s="1043"/>
      <c r="G72" s="1044"/>
      <c r="H72" s="1646">
        <f t="shared" si="52"/>
        <v>0</v>
      </c>
      <c r="I72" s="2186">
        <v>138.0326</v>
      </c>
      <c r="J72" s="2188">
        <v>7.3319999999999999</v>
      </c>
      <c r="K72" s="1801"/>
      <c r="L72" s="1800"/>
      <c r="M72" s="981">
        <f t="shared" si="53"/>
        <v>7.3319999999999999</v>
      </c>
      <c r="N72" s="1800"/>
      <c r="O72" s="2205">
        <v>1997.0823700000001</v>
      </c>
      <c r="P72" s="1973"/>
      <c r="Q72" s="991">
        <f t="shared" si="54"/>
        <v>1997.0823700000001</v>
      </c>
      <c r="R72" s="1964"/>
      <c r="S72" s="2205">
        <v>126.074</v>
      </c>
      <c r="T72" s="1964"/>
      <c r="U72" s="991">
        <f t="shared" si="55"/>
        <v>126.074</v>
      </c>
      <c r="V72" s="1965"/>
      <c r="W72" s="2205">
        <v>764.60289999999998</v>
      </c>
      <c r="X72" s="1964"/>
      <c r="Y72" s="991">
        <f>SUM(V72:X72)</f>
        <v>764.60289999999998</v>
      </c>
      <c r="Z72" s="1964"/>
      <c r="AA72" s="1963"/>
      <c r="AB72" s="1964"/>
      <c r="AC72" s="991">
        <f>B72+H72+I72+M72+Q72+U72+Y72+Z72+AA72+AB72</f>
        <v>3033.1238699999999</v>
      </c>
      <c r="AD72" s="1964"/>
      <c r="AE72" s="1966"/>
      <c r="AF72" s="2223">
        <v>4927.24755</v>
      </c>
      <c r="AG72" s="991">
        <f>SUM(AD72:AF72)</f>
        <v>4927.24755</v>
      </c>
      <c r="AH72" s="1967"/>
      <c r="AI72" s="1968"/>
      <c r="AJ72" s="1969"/>
      <c r="AK72" s="2229">
        <v>2780.7726499999999</v>
      </c>
      <c r="AL72" s="1660"/>
      <c r="AM72" s="1050"/>
      <c r="AN72" s="1668">
        <f>AC72+AG72+AK72+AL72+AM72</f>
        <v>10741.144069999998</v>
      </c>
      <c r="AO72" s="1678">
        <f>'вспом. план'!AN72</f>
        <v>10153.558953828793</v>
      </c>
      <c r="AP72" s="1186">
        <f t="shared" si="56"/>
        <v>587.5851161712053</v>
      </c>
    </row>
    <row r="73" spans="1:42" s="1018" customFormat="1" ht="9">
      <c r="A73" s="980" t="s">
        <v>407</v>
      </c>
      <c r="B73" s="1056">
        <f>SUM(B69:B72)</f>
        <v>0</v>
      </c>
      <c r="C73" s="1051">
        <f t="shared" ref="C73:AO73" si="57">SUM(C69:C72)</f>
        <v>0</v>
      </c>
      <c r="D73" s="1055">
        <f t="shared" si="57"/>
        <v>0</v>
      </c>
      <c r="E73" s="1055">
        <f t="shared" si="57"/>
        <v>0</v>
      </c>
      <c r="F73" s="1055">
        <f t="shared" si="57"/>
        <v>0</v>
      </c>
      <c r="G73" s="1051">
        <f t="shared" si="57"/>
        <v>0</v>
      </c>
      <c r="H73" s="1059">
        <f t="shared" si="57"/>
        <v>0</v>
      </c>
      <c r="I73" s="1056">
        <f>SUM(I69:I72)</f>
        <v>193.76659999999998</v>
      </c>
      <c r="J73" s="1051">
        <f t="shared" ref="J73:L73" si="58">SUM(J69:J72)</f>
        <v>10.614000000000001</v>
      </c>
      <c r="K73" s="1055">
        <f t="shared" si="58"/>
        <v>0</v>
      </c>
      <c r="L73" s="1051">
        <f t="shared" si="58"/>
        <v>0</v>
      </c>
      <c r="M73" s="1056">
        <f t="shared" si="57"/>
        <v>10.614000000000001</v>
      </c>
      <c r="N73" s="1051"/>
      <c r="O73" s="1055">
        <f t="shared" ref="O73" si="59">SUM(O69:O72)</f>
        <v>2981.7166500000003</v>
      </c>
      <c r="P73" s="1057"/>
      <c r="Q73" s="1056">
        <f t="shared" si="57"/>
        <v>2981.7166500000003</v>
      </c>
      <c r="R73" s="1051">
        <f t="shared" si="57"/>
        <v>0</v>
      </c>
      <c r="S73" s="1055">
        <f t="shared" si="57"/>
        <v>185.75954000000002</v>
      </c>
      <c r="T73" s="1051">
        <f t="shared" si="57"/>
        <v>0</v>
      </c>
      <c r="U73" s="1056">
        <f t="shared" si="57"/>
        <v>185.75954000000002</v>
      </c>
      <c r="V73" s="1059">
        <f t="shared" si="57"/>
        <v>0</v>
      </c>
      <c r="W73" s="1055">
        <f t="shared" si="57"/>
        <v>1139.9100100000001</v>
      </c>
      <c r="X73" s="1051">
        <f t="shared" si="57"/>
        <v>0</v>
      </c>
      <c r="Y73" s="1056">
        <f t="shared" si="57"/>
        <v>1139.9100100000001</v>
      </c>
      <c r="Z73" s="1051">
        <f t="shared" si="57"/>
        <v>0</v>
      </c>
      <c r="AA73" s="1056">
        <f t="shared" si="57"/>
        <v>0</v>
      </c>
      <c r="AB73" s="1051">
        <f t="shared" si="57"/>
        <v>0</v>
      </c>
      <c r="AC73" s="1056">
        <f t="shared" si="57"/>
        <v>4511.7667999999994</v>
      </c>
      <c r="AD73" s="1051">
        <f t="shared" si="57"/>
        <v>0</v>
      </c>
      <c r="AE73" s="1055">
        <f t="shared" si="57"/>
        <v>0</v>
      </c>
      <c r="AF73" s="1057">
        <f>SUM(AF69:AF72)</f>
        <v>7572.4939199999999</v>
      </c>
      <c r="AG73" s="1056">
        <f t="shared" si="57"/>
        <v>7572.4939199999999</v>
      </c>
      <c r="AH73" s="1049"/>
      <c r="AI73" s="1016"/>
      <c r="AJ73" s="1017"/>
      <c r="AK73" s="1057">
        <f t="shared" si="57"/>
        <v>4355.0081200000004</v>
      </c>
      <c r="AL73" s="1059">
        <f t="shared" si="57"/>
        <v>0</v>
      </c>
      <c r="AM73" s="1056">
        <f t="shared" si="57"/>
        <v>0</v>
      </c>
      <c r="AN73" s="1670">
        <f t="shared" si="57"/>
        <v>16439.268839999997</v>
      </c>
      <c r="AO73" s="1056">
        <f t="shared" si="57"/>
        <v>18636.280786877865</v>
      </c>
      <c r="AP73" s="1056">
        <f t="shared" si="56"/>
        <v>-2197.0119468778685</v>
      </c>
    </row>
    <row r="74" spans="1:42" s="1018" customFormat="1">
      <c r="A74" s="1275" t="s">
        <v>620</v>
      </c>
      <c r="B74" s="981"/>
      <c r="C74" s="1043"/>
      <c r="D74" s="1043"/>
      <c r="E74" s="1043"/>
      <c r="F74" s="1043"/>
      <c r="G74" s="1044"/>
      <c r="H74" s="1646">
        <f t="shared" si="52"/>
        <v>0</v>
      </c>
      <c r="I74" s="2186">
        <v>19.251000000000001</v>
      </c>
      <c r="J74" s="2188">
        <v>28.733280000000001</v>
      </c>
      <c r="K74" s="985"/>
      <c r="L74" s="983"/>
      <c r="M74" s="981">
        <f t="shared" ref="M74:M75" si="60">SUM(J74:L74)</f>
        <v>28.733280000000001</v>
      </c>
      <c r="N74" s="983"/>
      <c r="O74" s="2205">
        <v>319.40766000000002</v>
      </c>
      <c r="P74" s="1077"/>
      <c r="Q74" s="991">
        <f t="shared" si="54"/>
        <v>319.40766000000002</v>
      </c>
      <c r="R74" s="1045"/>
      <c r="S74" s="2205">
        <v>20.839259999999999</v>
      </c>
      <c r="T74" s="1045"/>
      <c r="U74" s="991">
        <f t="shared" si="55"/>
        <v>20.839259999999999</v>
      </c>
      <c r="V74" s="1660"/>
      <c r="W74" s="2205">
        <v>119.64125</v>
      </c>
      <c r="X74" s="1045"/>
      <c r="Y74" s="991">
        <f>SUM(V74:X74)</f>
        <v>119.64125</v>
      </c>
      <c r="Z74" s="1045"/>
      <c r="AA74" s="991"/>
      <c r="AB74" s="1045"/>
      <c r="AC74" s="991">
        <f>B74+H74+I74+M74+Q74+U74+Y74+Z74+AA74+AB74</f>
        <v>507.87245000000007</v>
      </c>
      <c r="AD74" s="1045"/>
      <c r="AE74" s="1048"/>
      <c r="AF74" s="2223">
        <v>1541.5911599999999</v>
      </c>
      <c r="AG74" s="991">
        <f>SUM(AD74:AF74)</f>
        <v>1541.5911599999999</v>
      </c>
      <c r="AH74" s="1049"/>
      <c r="AI74" s="1016"/>
      <c r="AJ74" s="1017"/>
      <c r="AK74" s="2229">
        <v>867.49891000000002</v>
      </c>
      <c r="AL74" s="1660"/>
      <c r="AM74" s="1050"/>
      <c r="AN74" s="1668">
        <f>AC74+AG74+AK74+AL74+AM74</f>
        <v>2916.96252</v>
      </c>
      <c r="AO74" s="1678">
        <f>'вспом. план'!AN74</f>
        <v>3505.3808262255579</v>
      </c>
      <c r="AP74" s="1186">
        <f t="shared" si="56"/>
        <v>-588.4183062255579</v>
      </c>
    </row>
    <row r="75" spans="1:42" s="1018" customFormat="1">
      <c r="A75" s="1275" t="s">
        <v>621</v>
      </c>
      <c r="B75" s="981"/>
      <c r="C75" s="1043"/>
      <c r="D75" s="1043"/>
      <c r="E75" s="1043"/>
      <c r="F75" s="1043"/>
      <c r="G75" s="1044"/>
      <c r="H75" s="1646">
        <f t="shared" si="52"/>
        <v>0</v>
      </c>
      <c r="I75" s="2186">
        <v>220.49030999999999</v>
      </c>
      <c r="J75" s="2188">
        <v>12.765000000000001</v>
      </c>
      <c r="K75" s="985"/>
      <c r="L75" s="983"/>
      <c r="M75" s="981">
        <f t="shared" si="60"/>
        <v>12.765000000000001</v>
      </c>
      <c r="N75" s="983"/>
      <c r="O75" s="2205">
        <v>3962.84337</v>
      </c>
      <c r="P75" s="1077"/>
      <c r="Q75" s="991">
        <f t="shared" si="54"/>
        <v>3962.84337</v>
      </c>
      <c r="R75" s="1045"/>
      <c r="S75" s="2205">
        <v>244.15119999999999</v>
      </c>
      <c r="T75" s="1045"/>
      <c r="U75" s="991">
        <f t="shared" si="55"/>
        <v>244.15119999999999</v>
      </c>
      <c r="V75" s="1660"/>
      <c r="W75" s="2205">
        <v>1511.7660699999999</v>
      </c>
      <c r="X75" s="1045"/>
      <c r="Y75" s="991">
        <f>SUM(V75:X75)</f>
        <v>1511.7660699999999</v>
      </c>
      <c r="Z75" s="1045"/>
      <c r="AA75" s="991"/>
      <c r="AB75" s="1045"/>
      <c r="AC75" s="991">
        <f>B75+H75+I75+M75+Q75+U75+Y75+Z75+AA75+AB75</f>
        <v>5952.01595</v>
      </c>
      <c r="AD75" s="1045"/>
      <c r="AE75" s="1048"/>
      <c r="AF75" s="2223">
        <v>5538.4598599999999</v>
      </c>
      <c r="AG75" s="991">
        <f>SUM(AD75:AF75)</f>
        <v>5538.4598599999999</v>
      </c>
      <c r="AH75" s="1049"/>
      <c r="AI75" s="1016"/>
      <c r="AJ75" s="1017"/>
      <c r="AK75" s="2229">
        <v>3208.61058</v>
      </c>
      <c r="AL75" s="1660"/>
      <c r="AM75" s="1050"/>
      <c r="AN75" s="1668">
        <f>AC75+AG75+AK75+AL75+AM75</f>
        <v>14699.08639</v>
      </c>
      <c r="AO75" s="1678">
        <f>'вспом. план'!AN75</f>
        <v>17662.67040418728</v>
      </c>
      <c r="AP75" s="1186">
        <f t="shared" si="56"/>
        <v>-2963.5840141872795</v>
      </c>
    </row>
    <row r="76" spans="1:42" s="1018" customFormat="1" ht="9">
      <c r="A76" s="980" t="s">
        <v>408</v>
      </c>
      <c r="B76" s="1056">
        <f>SUM(B74:B75)</f>
        <v>0</v>
      </c>
      <c r="C76" s="1051">
        <f t="shared" ref="C76:AN76" si="61">SUM(C74:C75)</f>
        <v>0</v>
      </c>
      <c r="D76" s="1055">
        <f t="shared" si="61"/>
        <v>0</v>
      </c>
      <c r="E76" s="1055">
        <f t="shared" si="61"/>
        <v>0</v>
      </c>
      <c r="F76" s="1055">
        <f t="shared" si="61"/>
        <v>0</v>
      </c>
      <c r="G76" s="1051">
        <f t="shared" si="61"/>
        <v>0</v>
      </c>
      <c r="H76" s="1059">
        <f t="shared" si="61"/>
        <v>0</v>
      </c>
      <c r="I76" s="1056">
        <f>SUM(I74:I75)</f>
        <v>239.74131</v>
      </c>
      <c r="J76" s="1051">
        <f t="shared" ref="J76:L76" si="62">SUM(J74:J75)</f>
        <v>41.498280000000001</v>
      </c>
      <c r="K76" s="1055"/>
      <c r="L76" s="1051">
        <f t="shared" si="62"/>
        <v>0</v>
      </c>
      <c r="M76" s="1056">
        <f t="shared" si="61"/>
        <v>41.498280000000001</v>
      </c>
      <c r="N76" s="1051"/>
      <c r="O76" s="1055">
        <f t="shared" ref="O76" si="63">SUM(O74:O75)</f>
        <v>4282.2510300000004</v>
      </c>
      <c r="P76" s="1057"/>
      <c r="Q76" s="1056">
        <f t="shared" si="61"/>
        <v>4282.2510300000004</v>
      </c>
      <c r="R76" s="1051">
        <f t="shared" si="61"/>
        <v>0</v>
      </c>
      <c r="S76" s="1055">
        <f t="shared" si="61"/>
        <v>264.99045999999998</v>
      </c>
      <c r="T76" s="1051">
        <f t="shared" si="61"/>
        <v>0</v>
      </c>
      <c r="U76" s="1056">
        <f t="shared" si="61"/>
        <v>264.99045999999998</v>
      </c>
      <c r="V76" s="1059">
        <f t="shared" si="61"/>
        <v>0</v>
      </c>
      <c r="W76" s="1055">
        <f t="shared" si="61"/>
        <v>1631.4073199999998</v>
      </c>
      <c r="X76" s="1051">
        <f t="shared" si="61"/>
        <v>0</v>
      </c>
      <c r="Y76" s="1056">
        <f t="shared" si="61"/>
        <v>1631.4073199999998</v>
      </c>
      <c r="Z76" s="1051">
        <f t="shared" si="61"/>
        <v>0</v>
      </c>
      <c r="AA76" s="1056">
        <f t="shared" si="61"/>
        <v>0</v>
      </c>
      <c r="AB76" s="1051">
        <f t="shared" si="61"/>
        <v>0</v>
      </c>
      <c r="AC76" s="1056">
        <f t="shared" si="61"/>
        <v>6459.8883999999998</v>
      </c>
      <c r="AD76" s="1051">
        <f t="shared" si="61"/>
        <v>0</v>
      </c>
      <c r="AE76" s="1055">
        <f t="shared" si="61"/>
        <v>0</v>
      </c>
      <c r="AF76" s="1057">
        <f t="shared" si="61"/>
        <v>7080.0510199999999</v>
      </c>
      <c r="AG76" s="1056">
        <f t="shared" si="61"/>
        <v>7080.0510199999999</v>
      </c>
      <c r="AH76" s="1049"/>
      <c r="AI76" s="1016"/>
      <c r="AJ76" s="1017"/>
      <c r="AK76" s="1057">
        <f t="shared" si="61"/>
        <v>4076.1094899999998</v>
      </c>
      <c r="AL76" s="1059">
        <f t="shared" si="61"/>
        <v>0</v>
      </c>
      <c r="AM76" s="1056">
        <f t="shared" si="61"/>
        <v>0</v>
      </c>
      <c r="AN76" s="1670">
        <f t="shared" si="61"/>
        <v>17616.048910000001</v>
      </c>
      <c r="AO76" s="1056">
        <f>SUM(AO74:AO75)</f>
        <v>21168.051230412839</v>
      </c>
      <c r="AP76" s="1056">
        <f t="shared" si="56"/>
        <v>-3552.0023204128374</v>
      </c>
    </row>
    <row r="77" spans="1:42" s="1018" customFormat="1" thickBot="1">
      <c r="A77" s="1061" t="s">
        <v>457</v>
      </c>
      <c r="B77" s="1008">
        <f>B73+B76</f>
        <v>0</v>
      </c>
      <c r="C77" s="1010">
        <v>0</v>
      </c>
      <c r="D77" s="1011">
        <f t="shared" ref="D77:AN77" si="64">D73+D76</f>
        <v>0</v>
      </c>
      <c r="E77" s="1011">
        <f t="shared" si="64"/>
        <v>0</v>
      </c>
      <c r="F77" s="1011">
        <f t="shared" si="64"/>
        <v>0</v>
      </c>
      <c r="G77" s="1010">
        <f t="shared" si="64"/>
        <v>0</v>
      </c>
      <c r="H77" s="1012">
        <f t="shared" si="64"/>
        <v>0</v>
      </c>
      <c r="I77" s="1008">
        <f>I73+I76</f>
        <v>433.50790999999998</v>
      </c>
      <c r="J77" s="1010">
        <f t="shared" ref="J77:L77" si="65">J73+J76</f>
        <v>52.112279999999998</v>
      </c>
      <c r="K77" s="1011">
        <f t="shared" si="65"/>
        <v>0</v>
      </c>
      <c r="L77" s="1010">
        <f t="shared" si="65"/>
        <v>0</v>
      </c>
      <c r="M77" s="1008">
        <f t="shared" si="64"/>
        <v>52.112279999999998</v>
      </c>
      <c r="N77" s="1010">
        <f t="shared" si="64"/>
        <v>0</v>
      </c>
      <c r="O77" s="1011">
        <f t="shared" si="64"/>
        <v>7263.9676800000007</v>
      </c>
      <c r="P77" s="1014">
        <f t="shared" si="64"/>
        <v>0</v>
      </c>
      <c r="Q77" s="1008">
        <f t="shared" si="64"/>
        <v>7263.9676800000007</v>
      </c>
      <c r="R77" s="1010">
        <f t="shared" si="64"/>
        <v>0</v>
      </c>
      <c r="S77" s="1011">
        <f t="shared" si="64"/>
        <v>450.75</v>
      </c>
      <c r="T77" s="1010">
        <f t="shared" si="64"/>
        <v>0</v>
      </c>
      <c r="U77" s="1008">
        <f t="shared" si="64"/>
        <v>450.75</v>
      </c>
      <c r="V77" s="1012">
        <f t="shared" si="64"/>
        <v>0</v>
      </c>
      <c r="W77" s="1011">
        <f t="shared" si="64"/>
        <v>2771.3173299999999</v>
      </c>
      <c r="X77" s="1010">
        <f t="shared" si="64"/>
        <v>0</v>
      </c>
      <c r="Y77" s="1008">
        <f t="shared" si="64"/>
        <v>2771.3173299999999</v>
      </c>
      <c r="Z77" s="1010">
        <f t="shared" si="64"/>
        <v>0</v>
      </c>
      <c r="AA77" s="1008">
        <f t="shared" si="64"/>
        <v>0</v>
      </c>
      <c r="AB77" s="1010">
        <f t="shared" si="64"/>
        <v>0</v>
      </c>
      <c r="AC77" s="1008">
        <f t="shared" si="64"/>
        <v>10971.655199999999</v>
      </c>
      <c r="AD77" s="1010">
        <f t="shared" si="64"/>
        <v>0</v>
      </c>
      <c r="AE77" s="1011">
        <f t="shared" si="64"/>
        <v>0</v>
      </c>
      <c r="AF77" s="1014">
        <f t="shared" si="64"/>
        <v>14652.54494</v>
      </c>
      <c r="AG77" s="1008">
        <f t="shared" si="64"/>
        <v>14652.54494</v>
      </c>
      <c r="AH77" s="1049"/>
      <c r="AI77" s="1016"/>
      <c r="AJ77" s="1017"/>
      <c r="AK77" s="1675">
        <f t="shared" si="64"/>
        <v>8431.1176100000012</v>
      </c>
      <c r="AL77" s="1676">
        <f t="shared" si="64"/>
        <v>0</v>
      </c>
      <c r="AM77" s="1677">
        <f t="shared" si="64"/>
        <v>0</v>
      </c>
      <c r="AN77" s="1675">
        <f t="shared" si="64"/>
        <v>34055.317750000002</v>
      </c>
      <c r="AO77" s="1677">
        <f>AO73+AO76</f>
        <v>39804.332017290704</v>
      </c>
      <c r="AP77" s="1677">
        <f t="shared" si="56"/>
        <v>-5749.0142672907023</v>
      </c>
    </row>
    <row r="78" spans="1:42" s="1018" customFormat="1" ht="10.5" thickBot="1">
      <c r="A78" s="1042" t="s">
        <v>448</v>
      </c>
      <c r="B78" s="2186">
        <v>863.32019000000003</v>
      </c>
      <c r="C78" s="2108"/>
      <c r="D78" s="2108"/>
      <c r="E78" s="2108"/>
      <c r="F78" s="2108"/>
      <c r="G78" s="2105"/>
      <c r="H78" s="2111">
        <f>SUM(C78:G78)</f>
        <v>0</v>
      </c>
      <c r="I78" s="2186">
        <f>1675.205</f>
        <v>1675.2049999999999</v>
      </c>
      <c r="J78" s="2188">
        <f>1264.5268-L78</f>
        <v>1239.7168000000001</v>
      </c>
      <c r="K78" s="2112"/>
      <c r="L78" s="2188">
        <v>24.81</v>
      </c>
      <c r="M78" s="981">
        <f>SUM(J78:L78)</f>
        <v>1264.5268000000001</v>
      </c>
      <c r="N78" s="983"/>
      <c r="O78" s="985"/>
      <c r="P78" s="2190">
        <v>5489.9044700000004</v>
      </c>
      <c r="Q78" s="1909">
        <f>SUM(N78:P78)</f>
        <v>5489.9044700000004</v>
      </c>
      <c r="R78" s="983"/>
      <c r="S78" s="985"/>
      <c r="T78" s="2188">
        <v>197.54859999999999</v>
      </c>
      <c r="U78" s="991">
        <f>SUM(R78:T78)</f>
        <v>197.54859999999999</v>
      </c>
      <c r="V78" s="1059"/>
      <c r="W78" s="1055"/>
      <c r="X78" s="2188">
        <v>1052.9095500000001</v>
      </c>
      <c r="Y78" s="991">
        <f>SUM(V78:X78)</f>
        <v>1052.9095500000001</v>
      </c>
      <c r="Z78" s="1051"/>
      <c r="AA78" s="991"/>
      <c r="AB78" s="1051"/>
      <c r="AC78" s="981">
        <f>B78+H78+I78+M78+Q78+U78+Y78+Z78+AA78+AB78</f>
        <v>10543.414610000002</v>
      </c>
      <c r="AD78" s="1051"/>
      <c r="AE78" s="1055"/>
      <c r="AF78" s="1057"/>
      <c r="AG78" s="991">
        <f>SUM(AD78:AF78)</f>
        <v>0</v>
      </c>
      <c r="AH78" s="1049"/>
      <c r="AI78" s="1016"/>
      <c r="AJ78" s="1017"/>
      <c r="AK78" s="2230">
        <v>7912.1775399999997</v>
      </c>
      <c r="AL78" s="1679"/>
      <c r="AM78" s="1680"/>
      <c r="AN78" s="1681">
        <f>AC78+AG78+AK78+AL78+AM78</f>
        <v>18455.59215</v>
      </c>
      <c r="AO78" s="1682">
        <f>'вспом. план'!AN78</f>
        <v>27270.638702090295</v>
      </c>
      <c r="AP78" s="1183">
        <f t="shared" si="56"/>
        <v>-8815.0465520902944</v>
      </c>
    </row>
    <row r="79" spans="1:42" s="1291" customFormat="1" ht="11.25" thickBot="1">
      <c r="A79" s="1277" t="s">
        <v>623</v>
      </c>
      <c r="B79" s="1278"/>
      <c r="C79" s="1279"/>
      <c r="D79" s="1279"/>
      <c r="E79" s="1279"/>
      <c r="F79" s="1279"/>
      <c r="G79" s="1279"/>
      <c r="H79" s="1280"/>
      <c r="I79" s="1278"/>
      <c r="J79" s="2197">
        <v>9.6488999999999994</v>
      </c>
      <c r="K79" s="2237"/>
      <c r="L79" s="1283"/>
      <c r="M79" s="1278">
        <f t="shared" ref="M79:M80" si="66">SUM(J79:L79)</f>
        <v>9.6488999999999994</v>
      </c>
      <c r="N79" s="2197">
        <v>125.39166</v>
      </c>
      <c r="O79" s="1281"/>
      <c r="P79" s="1281"/>
      <c r="Q79" s="1278">
        <f t="shared" ref="Q79:Q81" si="67">SUM(N79:P79)</f>
        <v>125.39166</v>
      </c>
      <c r="R79" s="2218">
        <v>19.545999999999999</v>
      </c>
      <c r="S79" s="1281"/>
      <c r="T79" s="1283"/>
      <c r="U79" s="1278">
        <f t="shared" ref="U79:U81" si="68">SUM(R79:T79)</f>
        <v>19.545999999999999</v>
      </c>
      <c r="V79" s="1280"/>
      <c r="W79" s="1281"/>
      <c r="X79" s="1283"/>
      <c r="Y79" s="1278"/>
      <c r="Z79" s="1283"/>
      <c r="AA79" s="1278"/>
      <c r="AB79" s="1283"/>
      <c r="AC79" s="1278">
        <f>B79+H79+I79+M79+Q79+U79+Y79+Z79+AA79+AB79</f>
        <v>154.58655999999999</v>
      </c>
      <c r="AD79" s="2197">
        <v>2519.8399800000002</v>
      </c>
      <c r="AE79" s="1281"/>
      <c r="AF79" s="1283"/>
      <c r="AG79" s="1278">
        <f>SUM(AD79:AE79)</f>
        <v>2519.8399800000002</v>
      </c>
      <c r="AH79" s="1287"/>
      <c r="AI79" s="1287"/>
      <c r="AJ79" s="1287"/>
      <c r="AK79" s="2231">
        <v>656.03988000000004</v>
      </c>
      <c r="AL79" s="1683"/>
      <c r="AM79" s="1684"/>
      <c r="AN79" s="1685">
        <f>AC79+AG79+AK79+AL79+AM79</f>
        <v>3330.4664200000007</v>
      </c>
      <c r="AO79" s="1686">
        <f>'вспом. план'!AN79</f>
        <v>4393.7999566404987</v>
      </c>
      <c r="AP79" s="1197">
        <f t="shared" si="56"/>
        <v>-1063.3335366404981</v>
      </c>
    </row>
    <row r="80" spans="1:42" s="1291" customFormat="1" ht="11.25" thickBot="1">
      <c r="A80" s="1292" t="s">
        <v>624</v>
      </c>
      <c r="B80" s="1278"/>
      <c r="C80" s="1279"/>
      <c r="D80" s="1279"/>
      <c r="E80" s="1279"/>
      <c r="F80" s="1279"/>
      <c r="G80" s="1279"/>
      <c r="H80" s="1280"/>
      <c r="I80" s="1278"/>
      <c r="J80" s="1283"/>
      <c r="K80" s="1281"/>
      <c r="L80" s="1283"/>
      <c r="M80" s="1293">
        <f t="shared" si="66"/>
        <v>0</v>
      </c>
      <c r="N80" s="2197">
        <v>924.44007999999997</v>
      </c>
      <c r="O80" s="1289"/>
      <c r="P80" s="1289"/>
      <c r="Q80" s="1293">
        <f t="shared" si="67"/>
        <v>924.44007999999997</v>
      </c>
      <c r="R80" s="1280"/>
      <c r="S80" s="1289"/>
      <c r="T80" s="1294"/>
      <c r="U80" s="1293">
        <f t="shared" si="68"/>
        <v>0</v>
      </c>
      <c r="V80" s="1910"/>
      <c r="W80" s="1289"/>
      <c r="X80" s="1294"/>
      <c r="Y80" s="1293"/>
      <c r="Z80" s="1294"/>
      <c r="AA80" s="1293"/>
      <c r="AB80" s="1294"/>
      <c r="AC80" s="1293">
        <f>B80+H80+I80+M80+Q80+U80+Y80+Z80+AA80+AB80</f>
        <v>924.44007999999997</v>
      </c>
      <c r="AD80" s="2228">
        <v>4572.12716</v>
      </c>
      <c r="AE80" s="1289"/>
      <c r="AF80" s="1294"/>
      <c r="AG80" s="1293">
        <f>SUM(AD80:AE80)</f>
        <v>4572.12716</v>
      </c>
      <c r="AH80" s="1287"/>
      <c r="AI80" s="1287"/>
      <c r="AJ80" s="1287"/>
      <c r="AK80" s="2232">
        <v>1168.7535600000001</v>
      </c>
      <c r="AL80" s="1286"/>
      <c r="AM80" s="1278"/>
      <c r="AN80" s="1279">
        <f>AC80+AG80+AK80+AL80+AM80</f>
        <v>6665.3208000000004</v>
      </c>
      <c r="AO80" s="1682">
        <f>'вспом. план'!AN80</f>
        <v>6926.0812878665893</v>
      </c>
      <c r="AP80" s="1183">
        <f t="shared" si="56"/>
        <v>-260.76048786658885</v>
      </c>
    </row>
    <row r="81" spans="1:42" s="1291" customFormat="1" ht="11.25" thickBot="1">
      <c r="A81" s="1277" t="s">
        <v>625</v>
      </c>
      <c r="B81" s="1278"/>
      <c r="C81" s="1279"/>
      <c r="D81" s="1279"/>
      <c r="E81" s="1279"/>
      <c r="F81" s="1279"/>
      <c r="G81" s="1279"/>
      <c r="H81" s="1280"/>
      <c r="I81" s="2194">
        <v>2365.2860900000001</v>
      </c>
      <c r="J81" s="2197">
        <v>13.111190000000001</v>
      </c>
      <c r="K81" s="2238"/>
      <c r="L81" s="1283"/>
      <c r="M81" s="1278">
        <f>SUM(J81:L81)</f>
        <v>13.111190000000001</v>
      </c>
      <c r="N81" s="1283"/>
      <c r="O81" s="1281"/>
      <c r="P81" s="1281"/>
      <c r="Q81" s="1278">
        <f t="shared" si="67"/>
        <v>0</v>
      </c>
      <c r="R81" s="1658"/>
      <c r="S81" s="1281"/>
      <c r="T81" s="1283"/>
      <c r="U81" s="1278">
        <f t="shared" si="68"/>
        <v>0</v>
      </c>
      <c r="V81" s="1280"/>
      <c r="W81" s="1281"/>
      <c r="X81" s="1283"/>
      <c r="Y81" s="1278"/>
      <c r="Z81" s="1283"/>
      <c r="AA81" s="1278"/>
      <c r="AB81" s="1283"/>
      <c r="AC81" s="1278">
        <f>B81+H81+I81+M81+Q81+U81+Y81+Z81+AA81+AB81</f>
        <v>2378.3972800000001</v>
      </c>
      <c r="AD81" s="1283"/>
      <c r="AE81" s="1281"/>
      <c r="AF81" s="1283"/>
      <c r="AG81" s="1278"/>
      <c r="AH81" s="1287"/>
      <c r="AI81" s="1287"/>
      <c r="AJ81" s="1287"/>
      <c r="AK81" s="2233">
        <v>895.06322999999998</v>
      </c>
      <c r="AL81" s="1687"/>
      <c r="AM81" s="1688"/>
      <c r="AN81" s="1685">
        <f>AC81+AG81+AK81+AL81+AM81</f>
        <v>3273.4605099999999</v>
      </c>
      <c r="AO81" s="1686">
        <f>'вспом. план'!AN81</f>
        <v>3295.37560382519</v>
      </c>
      <c r="AP81" s="1197">
        <f t="shared" si="56"/>
        <v>-21.91509382519007</v>
      </c>
    </row>
    <row r="82" spans="1:42" s="1037" customFormat="1" ht="10.5" thickBot="1">
      <c r="A82" s="1062" t="s">
        <v>394</v>
      </c>
      <c r="B82" s="1063">
        <f t="shared" ref="B82:AO82" si="69">B83+B87+B88+B89</f>
        <v>2097.6876700000003</v>
      </c>
      <c r="C82" s="1064">
        <f t="shared" si="69"/>
        <v>0</v>
      </c>
      <c r="D82" s="1064">
        <f t="shared" si="69"/>
        <v>0</v>
      </c>
      <c r="E82" s="1064">
        <f t="shared" si="69"/>
        <v>0</v>
      </c>
      <c r="F82" s="1064">
        <f t="shared" si="69"/>
        <v>0</v>
      </c>
      <c r="G82" s="1064">
        <f t="shared" si="69"/>
        <v>0</v>
      </c>
      <c r="H82" s="1082">
        <f t="shared" si="69"/>
        <v>0</v>
      </c>
      <c r="I82" s="1063">
        <f t="shared" si="69"/>
        <v>3300.91437</v>
      </c>
      <c r="J82" s="1082">
        <f t="shared" si="69"/>
        <v>1338.7615900000001</v>
      </c>
      <c r="K82" s="1065">
        <f t="shared" si="69"/>
        <v>0</v>
      </c>
      <c r="L82" s="1064">
        <f t="shared" si="69"/>
        <v>86.297190000000001</v>
      </c>
      <c r="M82" s="1063">
        <f t="shared" si="69"/>
        <v>1425.0587800000001</v>
      </c>
      <c r="N82" s="1064">
        <f t="shared" si="69"/>
        <v>11768.342280000001</v>
      </c>
      <c r="O82" s="1065">
        <f t="shared" si="69"/>
        <v>0</v>
      </c>
      <c r="P82" s="1067">
        <f t="shared" si="69"/>
        <v>0</v>
      </c>
      <c r="Q82" s="1063">
        <f t="shared" si="69"/>
        <v>11768.342280000001</v>
      </c>
      <c r="R82" s="1064">
        <f t="shared" si="69"/>
        <v>1600.0324000000001</v>
      </c>
      <c r="S82" s="1065">
        <f t="shared" si="69"/>
        <v>0</v>
      </c>
      <c r="T82" s="1064">
        <f t="shared" si="69"/>
        <v>0</v>
      </c>
      <c r="U82" s="1063">
        <f t="shared" si="69"/>
        <v>1600.0324000000001</v>
      </c>
      <c r="V82" s="1064">
        <f t="shared" si="69"/>
        <v>2623.4337599999999</v>
      </c>
      <c r="W82" s="1065">
        <f t="shared" si="69"/>
        <v>0</v>
      </c>
      <c r="X82" s="1064">
        <f t="shared" si="69"/>
        <v>0</v>
      </c>
      <c r="Y82" s="1063">
        <f t="shared" si="69"/>
        <v>2623.4337599999999</v>
      </c>
      <c r="Z82" s="1064">
        <f t="shared" si="69"/>
        <v>1342.66742</v>
      </c>
      <c r="AA82" s="1063">
        <f t="shared" si="69"/>
        <v>1083.42326</v>
      </c>
      <c r="AB82" s="1064">
        <f t="shared" si="69"/>
        <v>3523.7597399999995</v>
      </c>
      <c r="AC82" s="1063">
        <f t="shared" si="69"/>
        <v>28765.319680000001</v>
      </c>
      <c r="AD82" s="1064">
        <f t="shared" si="69"/>
        <v>0</v>
      </c>
      <c r="AE82" s="1065">
        <f t="shared" si="69"/>
        <v>0</v>
      </c>
      <c r="AF82" s="1067">
        <f t="shared" si="69"/>
        <v>0</v>
      </c>
      <c r="AG82" s="1063">
        <f t="shared" si="69"/>
        <v>0</v>
      </c>
      <c r="AH82" s="992"/>
      <c r="AI82" s="993"/>
      <c r="AJ82" s="994"/>
      <c r="AK82" s="1063">
        <f t="shared" si="69"/>
        <v>22209.596239999999</v>
      </c>
      <c r="AL82" s="1082">
        <f t="shared" si="69"/>
        <v>0</v>
      </c>
      <c r="AM82" s="1063">
        <f t="shared" si="69"/>
        <v>49456.26683</v>
      </c>
      <c r="AN82" s="1067">
        <f t="shared" si="69"/>
        <v>100431.18274999999</v>
      </c>
      <c r="AO82" s="1183">
        <f t="shared" si="69"/>
        <v>111368.67640565537</v>
      </c>
      <c r="AP82" s="1183">
        <f>AN82-AO82</f>
        <v>-10937.493655655373</v>
      </c>
    </row>
    <row r="83" spans="1:42" s="1037" customFormat="1">
      <c r="A83" s="1068" t="s">
        <v>395</v>
      </c>
      <c r="B83" s="2186">
        <v>1059.0553299999999</v>
      </c>
      <c r="C83" s="982"/>
      <c r="D83" s="982"/>
      <c r="E83" s="982"/>
      <c r="F83" s="982"/>
      <c r="G83" s="983"/>
      <c r="H83" s="1646">
        <f>SUM(C83:G83)</f>
        <v>0</v>
      </c>
      <c r="I83" s="2186">
        <v>3242.66417</v>
      </c>
      <c r="J83" s="2198">
        <f>1220.81059-L83</f>
        <v>1158.17959</v>
      </c>
      <c r="K83" s="1069"/>
      <c r="L83" s="2198">
        <v>62.631</v>
      </c>
      <c r="M83" s="981">
        <f t="shared" ref="M83:M87" si="70">SUM(J83:L83)</f>
        <v>1220.81059</v>
      </c>
      <c r="N83" s="2188">
        <v>5185.2323200000001</v>
      </c>
      <c r="O83" s="1184"/>
      <c r="P83" s="1077"/>
      <c r="Q83" s="981">
        <f>SUM(N83:P83)</f>
        <v>5185.2323200000001</v>
      </c>
      <c r="R83" s="2189">
        <v>711.11545000000001</v>
      </c>
      <c r="S83" s="985"/>
      <c r="T83" s="983"/>
      <c r="U83" s="981">
        <f>SUM(R83:T83)</f>
        <v>711.11545000000001</v>
      </c>
      <c r="V83" s="2189">
        <v>1336.5887700000001</v>
      </c>
      <c r="W83" s="985"/>
      <c r="X83" s="983">
        <f>'[1]затраты вспом.'!X83</f>
        <v>0</v>
      </c>
      <c r="Y83" s="981">
        <f>SUM(V83:X83)</f>
        <v>1336.5887700000001</v>
      </c>
      <c r="Z83" s="2188">
        <v>586.24023</v>
      </c>
      <c r="AA83" s="2186">
        <v>293.50788999999997</v>
      </c>
      <c r="AB83" s="2188">
        <v>2261.0560799999998</v>
      </c>
      <c r="AC83" s="981">
        <f>B83+H83+I83+M83+Q83+U83+Y83+Z83+AA83+AB83</f>
        <v>15896.270829999999</v>
      </c>
      <c r="AD83" s="1044"/>
      <c r="AE83" s="1069"/>
      <c r="AF83" s="990"/>
      <c r="AG83" s="991">
        <f>SUM(AD83:AF83)</f>
        <v>0</v>
      </c>
      <c r="AH83" s="992"/>
      <c r="AI83" s="993"/>
      <c r="AJ83" s="994"/>
      <c r="AK83" s="2229">
        <v>9679.0032499999998</v>
      </c>
      <c r="AL83" s="986"/>
      <c r="AM83" s="991"/>
      <c r="AN83" s="1668">
        <f>AC83+AG83+AK83+AL83+AM83</f>
        <v>25575.274079999999</v>
      </c>
      <c r="AO83" s="1678">
        <f>'вспом. план'!AN83</f>
        <v>25711.019204017226</v>
      </c>
      <c r="AP83" s="1186">
        <f>AN83-AO83</f>
        <v>-135.74512401722677</v>
      </c>
    </row>
    <row r="84" spans="1:42" s="1037" customFormat="1">
      <c r="A84" s="1072" t="s">
        <v>105</v>
      </c>
      <c r="B84" s="981"/>
      <c r="C84" s="982"/>
      <c r="D84" s="982"/>
      <c r="E84" s="982"/>
      <c r="F84" s="982"/>
      <c r="G84" s="983"/>
      <c r="H84" s="1646">
        <f>SUM(C84:G84)</f>
        <v>0</v>
      </c>
      <c r="I84" s="981"/>
      <c r="J84" s="2188">
        <v>53.075000000000003</v>
      </c>
      <c r="K84" s="985"/>
      <c r="L84" s="983"/>
      <c r="M84" s="981">
        <f t="shared" si="70"/>
        <v>53.075000000000003</v>
      </c>
      <c r="N84" s="983"/>
      <c r="O84" s="985"/>
      <c r="P84" s="1077"/>
      <c r="Q84" s="981">
        <f>SUM(N84:P84)</f>
        <v>0</v>
      </c>
      <c r="R84" s="1187"/>
      <c r="S84" s="985"/>
      <c r="T84" s="983"/>
      <c r="U84" s="981">
        <f>SUM(R84:T84)</f>
        <v>0</v>
      </c>
      <c r="V84" s="1187"/>
      <c r="W84" s="985"/>
      <c r="X84" s="983">
        <f>'[1]затраты вспом.'!X84</f>
        <v>0</v>
      </c>
      <c r="Y84" s="981">
        <f>SUM(V84:X84)</f>
        <v>0</v>
      </c>
      <c r="Z84" s="2188"/>
      <c r="AA84" s="981"/>
      <c r="AB84" s="983"/>
      <c r="AC84" s="981">
        <f>B84+H84+I84+M84+Q84+U84+Y84+Z84+AA84+AB84</f>
        <v>53.075000000000003</v>
      </c>
      <c r="AD84" s="1044"/>
      <c r="AE84" s="985"/>
      <c r="AF84" s="1077"/>
      <c r="AG84" s="991">
        <f>SUM(AD84:AF84)</f>
        <v>0</v>
      </c>
      <c r="AH84" s="992"/>
      <c r="AI84" s="993"/>
      <c r="AJ84" s="994"/>
      <c r="AK84" s="2204">
        <v>597.20722000000001</v>
      </c>
      <c r="AL84" s="986"/>
      <c r="AM84" s="991"/>
      <c r="AN84" s="1668">
        <f>AC84+AG84+AK84+AL84+AM84</f>
        <v>650.28222000000005</v>
      </c>
      <c r="AO84" s="1185">
        <f>'вспом. план'!AN84</f>
        <v>580.74105343146709</v>
      </c>
      <c r="AP84" s="1188">
        <f t="shared" si="56"/>
        <v>69.541166568532958</v>
      </c>
    </row>
    <row r="85" spans="1:42" s="1037" customFormat="1">
      <c r="A85" s="1072" t="s">
        <v>396</v>
      </c>
      <c r="B85" s="2186">
        <v>1038.6323400000001</v>
      </c>
      <c r="C85" s="982"/>
      <c r="D85" s="982"/>
      <c r="E85" s="982"/>
      <c r="F85" s="982"/>
      <c r="G85" s="983"/>
      <c r="H85" s="1646">
        <f>SUM(C85:G85)</f>
        <v>0</v>
      </c>
      <c r="I85" s="2186">
        <v>58.2502</v>
      </c>
      <c r="J85" s="2198">
        <f>151.17319-L85</f>
        <v>127.50700000000001</v>
      </c>
      <c r="K85" s="2115"/>
      <c r="L85" s="2198">
        <v>23.66619</v>
      </c>
      <c r="M85" s="981">
        <f t="shared" si="70"/>
        <v>151.17319000000001</v>
      </c>
      <c r="N85" s="2188">
        <v>6493.2077099999997</v>
      </c>
      <c r="O85" s="1069"/>
      <c r="P85" s="1077"/>
      <c r="Q85" s="981">
        <f>SUM(N85:P85)</f>
        <v>6493.2077099999997</v>
      </c>
      <c r="R85" s="2189">
        <v>882.03144999999995</v>
      </c>
      <c r="S85" s="985"/>
      <c r="T85" s="983"/>
      <c r="U85" s="981">
        <f>SUM(R85:T85)</f>
        <v>882.03144999999995</v>
      </c>
      <c r="V85" s="2189">
        <v>1286.8449900000001</v>
      </c>
      <c r="W85" s="985"/>
      <c r="X85" s="983">
        <f>'[1]затраты вспом.'!X85</f>
        <v>0</v>
      </c>
      <c r="Y85" s="981">
        <f>SUM(V85:X85)</f>
        <v>1286.8449900000001</v>
      </c>
      <c r="Z85" s="2188">
        <v>750.96646999999996</v>
      </c>
      <c r="AA85" s="2186">
        <v>766.00789999999995</v>
      </c>
      <c r="AB85" s="2188">
        <v>1262.7036599999999</v>
      </c>
      <c r="AC85" s="981">
        <f>B85+H85+I85+M85+Q85+U85+Y85+Z85+AA85+AB85</f>
        <v>12689.817909999998</v>
      </c>
      <c r="AD85" s="1044"/>
      <c r="AE85" s="1069"/>
      <c r="AF85" s="990"/>
      <c r="AG85" s="991">
        <f>SUM(AD85:AF85)</f>
        <v>0</v>
      </c>
      <c r="AH85" s="992"/>
      <c r="AI85" s="993"/>
      <c r="AJ85" s="994"/>
      <c r="AK85" s="2229">
        <v>10286.230740000001</v>
      </c>
      <c r="AL85" s="986"/>
      <c r="AM85" s="2195">
        <v>43262.306279999997</v>
      </c>
      <c r="AN85" s="1668">
        <f>AC85+AG85+AK85+AL85+AM85</f>
        <v>66238.354930000001</v>
      </c>
      <c r="AO85" s="1678">
        <f>'вспом. план'!AN85</f>
        <v>77874.929889510531</v>
      </c>
      <c r="AP85" s="1186">
        <f t="shared" si="56"/>
        <v>-11636.57495951053</v>
      </c>
    </row>
    <row r="86" spans="1:42" s="1037" customFormat="1">
      <c r="A86" s="1072" t="s">
        <v>566</v>
      </c>
      <c r="B86" s="981"/>
      <c r="C86" s="982"/>
      <c r="D86" s="982"/>
      <c r="E86" s="982"/>
      <c r="F86" s="982"/>
      <c r="G86" s="983"/>
      <c r="H86" s="1646">
        <f>SUM(C86:G86)</f>
        <v>0</v>
      </c>
      <c r="I86" s="981"/>
      <c r="J86" s="1044"/>
      <c r="K86" s="1069"/>
      <c r="L86" s="1044"/>
      <c r="M86" s="981">
        <f t="shared" si="70"/>
        <v>0</v>
      </c>
      <c r="N86" s="2188">
        <v>89.902249999999995</v>
      </c>
      <c r="O86" s="1069"/>
      <c r="P86" s="1077"/>
      <c r="Q86" s="981">
        <f>SUM(N86:P86)</f>
        <v>89.902249999999995</v>
      </c>
      <c r="R86" s="2189">
        <v>6.8855000000000004</v>
      </c>
      <c r="S86" s="985"/>
      <c r="T86" s="983"/>
      <c r="U86" s="981">
        <f>SUM(R86:T86)</f>
        <v>6.8855000000000004</v>
      </c>
      <c r="V86" s="1187"/>
      <c r="W86" s="985"/>
      <c r="X86" s="983">
        <f>'[1]затраты вспом.'!X86</f>
        <v>0</v>
      </c>
      <c r="Y86" s="981">
        <f>SUM(V86:X86)</f>
        <v>0</v>
      </c>
      <c r="Z86" s="2188">
        <v>5.4607200000000002</v>
      </c>
      <c r="AA86" s="2186">
        <v>23.90747</v>
      </c>
      <c r="AB86" s="983"/>
      <c r="AC86" s="981">
        <f>B86+H86+I86+M86+Q86+U86+Y86+Z86+AA86+AB86</f>
        <v>126.15593999999999</v>
      </c>
      <c r="AD86" s="1044"/>
      <c r="AE86" s="1069"/>
      <c r="AF86" s="990"/>
      <c r="AG86" s="991"/>
      <c r="AH86" s="992"/>
      <c r="AI86" s="993"/>
      <c r="AJ86" s="994"/>
      <c r="AK86" s="2229">
        <v>1647.1550299999999</v>
      </c>
      <c r="AL86" s="986"/>
      <c r="AM86" s="2195">
        <v>4791.2011400000001</v>
      </c>
      <c r="AN86" s="1668">
        <f>AC86+AG86+AK86+AL86+AM86</f>
        <v>6564.5121099999997</v>
      </c>
      <c r="AO86" s="1678">
        <f>'вспом. план'!AN86</f>
        <v>7201.9862586961453</v>
      </c>
      <c r="AP86" s="1186">
        <f t="shared" si="56"/>
        <v>-637.47414869614568</v>
      </c>
    </row>
    <row r="87" spans="1:42" s="1018" customFormat="1">
      <c r="A87" s="1042" t="s">
        <v>397</v>
      </c>
      <c r="B87" s="981">
        <f>B84+B85+B86</f>
        <v>1038.6323400000001</v>
      </c>
      <c r="C87" s="982"/>
      <c r="D87" s="982"/>
      <c r="E87" s="982"/>
      <c r="F87" s="982"/>
      <c r="G87" s="983"/>
      <c r="H87" s="1059">
        <f t="shared" ref="H87:AL87" si="71">H84+H85</f>
        <v>0</v>
      </c>
      <c r="I87" s="981">
        <f>I84+I85+I86</f>
        <v>58.2502</v>
      </c>
      <c r="J87" s="983">
        <f t="shared" ref="J87:L87" si="72">J84+J85+J86</f>
        <v>180.58199999999999</v>
      </c>
      <c r="K87" s="985">
        <f t="shared" si="72"/>
        <v>0</v>
      </c>
      <c r="L87" s="983">
        <f t="shared" si="72"/>
        <v>23.66619</v>
      </c>
      <c r="M87" s="981">
        <f t="shared" si="70"/>
        <v>204.24818999999999</v>
      </c>
      <c r="N87" s="983">
        <f t="shared" ref="N87" si="73">N84+N85+N86</f>
        <v>6583.1099599999998</v>
      </c>
      <c r="O87" s="985"/>
      <c r="P87" s="1077"/>
      <c r="Q87" s="981">
        <f t="shared" ref="Q87" si="74">SUM(N87:P87)</f>
        <v>6583.1099599999998</v>
      </c>
      <c r="R87" s="1187">
        <f t="shared" ref="R87:T87" si="75">R84+R85+R86</f>
        <v>888.91694999999993</v>
      </c>
      <c r="S87" s="985">
        <f t="shared" si="75"/>
        <v>0</v>
      </c>
      <c r="T87" s="983">
        <f t="shared" si="75"/>
        <v>0</v>
      </c>
      <c r="U87" s="981">
        <f t="shared" ref="U87" si="76">SUM(R87:T87)</f>
        <v>888.91694999999993</v>
      </c>
      <c r="V87" s="1187">
        <f t="shared" ref="V87:X87" si="77">V84+V85+V86</f>
        <v>1286.8449900000001</v>
      </c>
      <c r="W87" s="985">
        <f t="shared" si="77"/>
        <v>0</v>
      </c>
      <c r="X87" s="983">
        <f t="shared" si="77"/>
        <v>0</v>
      </c>
      <c r="Y87" s="981">
        <f t="shared" ref="Y87" si="78">SUM(V87:X87)</f>
        <v>1286.8449900000001</v>
      </c>
      <c r="Z87" s="1051">
        <f>Z84+Z85+Z86</f>
        <v>756.42719</v>
      </c>
      <c r="AA87" s="981">
        <f>AA84+AA85+AA86</f>
        <v>789.91536999999994</v>
      </c>
      <c r="AB87" s="1051">
        <f>AB84+AB85+AB86</f>
        <v>1262.7036599999999</v>
      </c>
      <c r="AC87" s="1056">
        <f>AC84+AC85+AC86</f>
        <v>12869.048849999999</v>
      </c>
      <c r="AD87" s="1051">
        <f t="shared" si="71"/>
        <v>0</v>
      </c>
      <c r="AE87" s="1055">
        <f t="shared" si="71"/>
        <v>0</v>
      </c>
      <c r="AF87" s="1057">
        <f t="shared" si="71"/>
        <v>0</v>
      </c>
      <c r="AG87" s="1056">
        <f t="shared" si="71"/>
        <v>0</v>
      </c>
      <c r="AH87" s="1049"/>
      <c r="AI87" s="1016"/>
      <c r="AJ87" s="1017"/>
      <c r="AK87" s="1057">
        <f>AK84+AK85+AK86</f>
        <v>12530.592990000001</v>
      </c>
      <c r="AL87" s="1059">
        <f t="shared" si="71"/>
        <v>0</v>
      </c>
      <c r="AM87" s="1056">
        <f>AM86+AM85</f>
        <v>48053.507419999994</v>
      </c>
      <c r="AN87" s="1670">
        <f>AN84+AN85+AN86</f>
        <v>73453.149259999991</v>
      </c>
      <c r="AO87" s="1060">
        <f>AO84+AO85+AO86</f>
        <v>85657.65720163814</v>
      </c>
      <c r="AP87" s="1060">
        <f t="shared" si="56"/>
        <v>-12204.507941638149</v>
      </c>
    </row>
    <row r="88" spans="1:42" s="1037" customFormat="1">
      <c r="A88" s="1076" t="s">
        <v>398</v>
      </c>
      <c r="B88" s="981"/>
      <c r="C88" s="982"/>
      <c r="D88" s="982"/>
      <c r="E88" s="982"/>
      <c r="F88" s="982"/>
      <c r="G88" s="983"/>
      <c r="H88" s="1646"/>
      <c r="I88" s="981"/>
      <c r="J88" s="983"/>
      <c r="K88" s="985"/>
      <c r="L88" s="983"/>
      <c r="M88" s="981"/>
      <c r="N88" s="983"/>
      <c r="O88" s="985"/>
      <c r="P88" s="1077"/>
      <c r="Q88" s="981"/>
      <c r="R88" s="1187"/>
      <c r="S88" s="985"/>
      <c r="T88" s="983"/>
      <c r="U88" s="981"/>
      <c r="V88" s="1187"/>
      <c r="W88" s="985"/>
      <c r="X88" s="983"/>
      <c r="Y88" s="981"/>
      <c r="Z88" s="983"/>
      <c r="AA88" s="981"/>
      <c r="AB88" s="983"/>
      <c r="AC88" s="981"/>
      <c r="AD88" s="983"/>
      <c r="AE88" s="985"/>
      <c r="AF88" s="1077"/>
      <c r="AG88" s="991"/>
      <c r="AH88" s="992"/>
      <c r="AI88" s="993"/>
      <c r="AJ88" s="994"/>
      <c r="AK88" s="1077"/>
      <c r="AL88" s="986"/>
      <c r="AM88" s="991"/>
      <c r="AN88" s="1668"/>
      <c r="AO88" s="1185"/>
      <c r="AP88" s="1186">
        <f t="shared" si="56"/>
        <v>0</v>
      </c>
    </row>
    <row r="89" spans="1:42" s="1037" customFormat="1" ht="9.75" customHeight="1" thickBot="1">
      <c r="A89" s="1078" t="s">
        <v>106</v>
      </c>
      <c r="B89" s="981"/>
      <c r="C89" s="982"/>
      <c r="D89" s="982"/>
      <c r="E89" s="982"/>
      <c r="F89" s="982"/>
      <c r="G89" s="983"/>
      <c r="H89" s="1646"/>
      <c r="I89" s="981"/>
      <c r="J89" s="983"/>
      <c r="K89" s="1209"/>
      <c r="L89" s="983"/>
      <c r="M89" s="981"/>
      <c r="N89" s="983"/>
      <c r="O89" s="985"/>
      <c r="P89" s="1077"/>
      <c r="Q89" s="981"/>
      <c r="R89" s="1659"/>
      <c r="S89" s="985"/>
      <c r="T89" s="1212"/>
      <c r="U89" s="981"/>
      <c r="V89" s="1659"/>
      <c r="W89" s="985"/>
      <c r="X89" s="1212"/>
      <c r="Y89" s="981"/>
      <c r="Z89" s="983"/>
      <c r="AA89" s="981"/>
      <c r="AB89" s="983"/>
      <c r="AC89" s="981"/>
      <c r="AD89" s="1001"/>
      <c r="AE89" s="1663"/>
      <c r="AF89" s="1080"/>
      <c r="AG89" s="991"/>
      <c r="AH89" s="992"/>
      <c r="AI89" s="993"/>
      <c r="AJ89" s="994"/>
      <c r="AK89" s="1080"/>
      <c r="AL89" s="1666"/>
      <c r="AM89" s="2235">
        <f>49456.26683-AM85-AM86</f>
        <v>1402.7594100000033</v>
      </c>
      <c r="AN89" s="1668">
        <f>AC89+AG89+AK89+AL89+AM89</f>
        <v>1402.7594100000033</v>
      </c>
      <c r="AO89" s="1185"/>
      <c r="AP89" s="1188">
        <f t="shared" si="56"/>
        <v>1402.7594100000033</v>
      </c>
    </row>
    <row r="90" spans="1:42" s="1037" customFormat="1" ht="9.75" customHeight="1" thickBot="1">
      <c r="A90" s="1062" t="s">
        <v>381</v>
      </c>
      <c r="B90" s="1063">
        <f>B91+B97+B98+B102+B103+B104+B105+B106+B107+B108</f>
        <v>2901.28008</v>
      </c>
      <c r="C90" s="1067">
        <f t="shared" ref="C90:AL90" si="79">C91+C97+C98+C102+C103+C104+C105+C106+C107+C108</f>
        <v>0</v>
      </c>
      <c r="D90" s="1063">
        <f t="shared" si="79"/>
        <v>0</v>
      </c>
      <c r="E90" s="1063">
        <f t="shared" si="79"/>
        <v>0</v>
      </c>
      <c r="F90" s="1063">
        <f t="shared" si="79"/>
        <v>0</v>
      </c>
      <c r="G90" s="1082">
        <f t="shared" si="79"/>
        <v>0</v>
      </c>
      <c r="H90" s="1082">
        <f t="shared" si="79"/>
        <v>0</v>
      </c>
      <c r="I90" s="1063">
        <f>I91+I97+I98+I102+I103+I104+I105+I106+I107+I108</f>
        <v>1396.8742900000002</v>
      </c>
      <c r="J90" s="1064">
        <f t="shared" ref="J90:L90" si="80">J91+J97+J98+J102+J103+J104+J105+J106+J107+J108</f>
        <v>1.76</v>
      </c>
      <c r="K90" s="1652">
        <f t="shared" si="80"/>
        <v>0.68469999999999998</v>
      </c>
      <c r="L90" s="1064">
        <f t="shared" si="80"/>
        <v>424.38707999999997</v>
      </c>
      <c r="M90" s="1063">
        <f t="shared" si="79"/>
        <v>426.83177999999992</v>
      </c>
      <c r="N90" s="1064">
        <f t="shared" si="79"/>
        <v>5066.4009699999997</v>
      </c>
      <c r="O90" s="1065">
        <f t="shared" si="79"/>
        <v>0</v>
      </c>
      <c r="P90" s="1067">
        <f t="shared" si="79"/>
        <v>0</v>
      </c>
      <c r="Q90" s="1063">
        <f t="shared" si="79"/>
        <v>5066.4009699999997</v>
      </c>
      <c r="R90" s="1082">
        <f t="shared" si="79"/>
        <v>120.322</v>
      </c>
      <c r="S90" s="1065">
        <f t="shared" si="79"/>
        <v>4.1196000000000002</v>
      </c>
      <c r="T90" s="1064">
        <f t="shared" si="79"/>
        <v>0</v>
      </c>
      <c r="U90" s="1063">
        <f t="shared" si="79"/>
        <v>124.44160000000001</v>
      </c>
      <c r="V90" s="1082">
        <f t="shared" si="79"/>
        <v>3051.5289899999998</v>
      </c>
      <c r="W90" s="1065">
        <f t="shared" si="79"/>
        <v>0</v>
      </c>
      <c r="X90" s="1064">
        <f t="shared" si="79"/>
        <v>0</v>
      </c>
      <c r="Y90" s="1063">
        <f t="shared" si="79"/>
        <v>3051.5289899999998</v>
      </c>
      <c r="Z90" s="1064">
        <f t="shared" si="79"/>
        <v>97.800600000000003</v>
      </c>
      <c r="AA90" s="1063">
        <f t="shared" si="79"/>
        <v>0</v>
      </c>
      <c r="AB90" s="1064">
        <f t="shared" si="79"/>
        <v>0</v>
      </c>
      <c r="AC90" s="1063">
        <f t="shared" si="79"/>
        <v>13065.158309999999</v>
      </c>
      <c r="AD90" s="1064">
        <f t="shared" si="79"/>
        <v>0</v>
      </c>
      <c r="AE90" s="1065">
        <f t="shared" si="79"/>
        <v>0</v>
      </c>
      <c r="AF90" s="1067">
        <f t="shared" si="79"/>
        <v>0</v>
      </c>
      <c r="AG90" s="1063">
        <f t="shared" si="79"/>
        <v>0</v>
      </c>
      <c r="AH90" s="992"/>
      <c r="AI90" s="993"/>
      <c r="AJ90" s="994"/>
      <c r="AK90" s="1067">
        <f t="shared" si="79"/>
        <v>0</v>
      </c>
      <c r="AL90" s="1082">
        <f t="shared" si="79"/>
        <v>0</v>
      </c>
      <c r="AM90" s="1063">
        <f>AM91+AM97+AM98+AM102+AM103+AM104+AM105+AM106+AM107+AM108</f>
        <v>0</v>
      </c>
      <c r="AN90" s="1067">
        <f>AN91+AN97+AN98+AN102+AN103+AN104+AN105+AN106+AN107+AN108</f>
        <v>13065.158309999999</v>
      </c>
      <c r="AO90" s="1063">
        <f>AO91+AO97+AO98+AO102+AO103+AO104+AO105+AO106+AO107+AO108</f>
        <v>12157.577723798655</v>
      </c>
      <c r="AP90" s="1063">
        <f t="shared" si="56"/>
        <v>907.58058620134398</v>
      </c>
    </row>
    <row r="91" spans="1:42" s="1037" customFormat="1" ht="9.75" customHeight="1">
      <c r="A91" s="1083" t="s">
        <v>382</v>
      </c>
      <c r="B91" s="981"/>
      <c r="C91" s="983"/>
      <c r="D91" s="1184"/>
      <c r="E91" s="983"/>
      <c r="F91" s="1184"/>
      <c r="G91" s="1077"/>
      <c r="H91" s="1646">
        <f t="shared" ref="H91" si="81">SUM(C91:G91)</f>
        <v>0</v>
      </c>
      <c r="I91" s="981"/>
      <c r="J91" s="983"/>
      <c r="K91" s="1069"/>
      <c r="L91" s="983"/>
      <c r="M91" s="981">
        <f t="shared" ref="M91" si="82">SUM(J91:L91)</f>
        <v>0</v>
      </c>
      <c r="N91" s="2188">
        <v>1045.14373</v>
      </c>
      <c r="O91" s="1184"/>
      <c r="P91" s="1077"/>
      <c r="Q91" s="991">
        <f t="shared" ref="Q91:Q101" si="83">SUM(N91:P91)</f>
        <v>1045.14373</v>
      </c>
      <c r="R91" s="2189">
        <v>8.7119999999999997</v>
      </c>
      <c r="S91" s="1069"/>
      <c r="T91" s="1044"/>
      <c r="U91" s="991">
        <f t="shared" ref="U91" si="84">SUM(R91:T91)</f>
        <v>8.7119999999999997</v>
      </c>
      <c r="V91" s="1187"/>
      <c r="W91" s="1069"/>
      <c r="X91" s="1044"/>
      <c r="Y91" s="991">
        <f t="shared" ref="Y91" si="85">SUM(V91:X91)</f>
        <v>0</v>
      </c>
      <c r="Z91" s="2188">
        <v>6.8039100000000001</v>
      </c>
      <c r="AA91" s="991"/>
      <c r="AB91" s="983"/>
      <c r="AC91" s="981">
        <f t="shared" ref="AC91" si="86">B91+H91+I91+M91+Q91+U91+Y91+Z91+AA91+AB91</f>
        <v>1060.6596400000001</v>
      </c>
      <c r="AD91" s="1044"/>
      <c r="AE91" s="1069"/>
      <c r="AF91" s="990"/>
      <c r="AG91" s="991">
        <f t="shared" ref="AG91" si="87">SUM(AD91:AF91)</f>
        <v>0</v>
      </c>
      <c r="AH91" s="992"/>
      <c r="AI91" s="993"/>
      <c r="AJ91" s="994"/>
      <c r="AK91" s="1085"/>
      <c r="AL91" s="986"/>
      <c r="AM91" s="991"/>
      <c r="AN91" s="1668">
        <f t="shared" ref="AN91:AN101" si="88">AC91+AG91+AK91+AL91+AM91</f>
        <v>1060.6596400000001</v>
      </c>
      <c r="AO91" s="1185">
        <f>'вспом. план'!AN91</f>
        <v>2035.487870936978</v>
      </c>
      <c r="AP91" s="1188">
        <f t="shared" si="56"/>
        <v>-974.82823093697789</v>
      </c>
    </row>
    <row r="92" spans="1:42" s="1037" customFormat="1" ht="9.75" hidden="1" customHeight="1" outlineLevel="1">
      <c r="A92" s="1083" t="s">
        <v>449</v>
      </c>
      <c r="B92" s="981"/>
      <c r="C92" s="983"/>
      <c r="D92" s="985"/>
      <c r="E92" s="983"/>
      <c r="F92" s="985"/>
      <c r="G92" s="1077"/>
      <c r="H92" s="1646"/>
      <c r="I92" s="981"/>
      <c r="J92" s="983"/>
      <c r="K92" s="985"/>
      <c r="L92" s="983"/>
      <c r="M92" s="981"/>
      <c r="N92" s="983"/>
      <c r="O92" s="985"/>
      <c r="P92" s="1077"/>
      <c r="Q92" s="991"/>
      <c r="R92" s="983"/>
      <c r="S92" s="1069"/>
      <c r="T92" s="1044"/>
      <c r="U92" s="991"/>
      <c r="V92" s="983"/>
      <c r="W92" s="1069"/>
      <c r="X92" s="1044"/>
      <c r="Y92" s="991"/>
      <c r="Z92" s="983"/>
      <c r="AA92" s="991"/>
      <c r="AB92" s="983"/>
      <c r="AC92" s="981"/>
      <c r="AD92" s="1044"/>
      <c r="AE92" s="985"/>
      <c r="AF92" s="1077"/>
      <c r="AG92" s="991"/>
      <c r="AH92" s="992"/>
      <c r="AI92" s="993"/>
      <c r="AJ92" s="994"/>
      <c r="AK92" s="990"/>
      <c r="AL92" s="986"/>
      <c r="AM92" s="991"/>
      <c r="AN92" s="1668"/>
      <c r="AO92" s="1185">
        <f>'вспом. план'!AN92</f>
        <v>0</v>
      </c>
      <c r="AP92" s="1188">
        <f t="shared" si="56"/>
        <v>0</v>
      </c>
    </row>
    <row r="93" spans="1:42" s="1037" customFormat="1" ht="9.75" hidden="1" customHeight="1" outlineLevel="1">
      <c r="A93" s="1083" t="s">
        <v>450</v>
      </c>
      <c r="B93" s="981"/>
      <c r="C93" s="983"/>
      <c r="D93" s="985"/>
      <c r="E93" s="983"/>
      <c r="F93" s="985"/>
      <c r="G93" s="1077"/>
      <c r="H93" s="1646"/>
      <c r="I93" s="981"/>
      <c r="J93" s="983"/>
      <c r="K93" s="985"/>
      <c r="L93" s="983"/>
      <c r="M93" s="981"/>
      <c r="N93" s="983"/>
      <c r="O93" s="985"/>
      <c r="P93" s="1077"/>
      <c r="Q93" s="991"/>
      <c r="R93" s="983"/>
      <c r="S93" s="1069"/>
      <c r="T93" s="1044"/>
      <c r="U93" s="991"/>
      <c r="V93" s="983"/>
      <c r="W93" s="1069"/>
      <c r="X93" s="1044"/>
      <c r="Y93" s="991"/>
      <c r="Z93" s="983"/>
      <c r="AA93" s="991"/>
      <c r="AB93" s="983"/>
      <c r="AC93" s="981"/>
      <c r="AD93" s="1044"/>
      <c r="AE93" s="985"/>
      <c r="AF93" s="1077"/>
      <c r="AG93" s="991"/>
      <c r="AH93" s="992"/>
      <c r="AI93" s="993"/>
      <c r="AJ93" s="994"/>
      <c r="AK93" s="990"/>
      <c r="AL93" s="986"/>
      <c r="AM93" s="991"/>
      <c r="AN93" s="1668"/>
      <c r="AO93" s="1185">
        <f>'вспом. план'!AN93</f>
        <v>0</v>
      </c>
      <c r="AP93" s="1188">
        <f t="shared" si="56"/>
        <v>0</v>
      </c>
    </row>
    <row r="94" spans="1:42" s="1037" customFormat="1" ht="9.75" hidden="1" customHeight="1" outlineLevel="1">
      <c r="A94" s="1083" t="s">
        <v>451</v>
      </c>
      <c r="B94" s="981"/>
      <c r="C94" s="983"/>
      <c r="D94" s="985"/>
      <c r="E94" s="983"/>
      <c r="F94" s="985"/>
      <c r="G94" s="1077"/>
      <c r="H94" s="1646"/>
      <c r="I94" s="981"/>
      <c r="J94" s="983"/>
      <c r="K94" s="985"/>
      <c r="L94" s="983"/>
      <c r="M94" s="981"/>
      <c r="N94" s="983"/>
      <c r="O94" s="985"/>
      <c r="P94" s="1077"/>
      <c r="Q94" s="991"/>
      <c r="R94" s="983"/>
      <c r="S94" s="1069"/>
      <c r="T94" s="1044"/>
      <c r="U94" s="991"/>
      <c r="V94" s="983"/>
      <c r="W94" s="1069"/>
      <c r="X94" s="1044"/>
      <c r="Y94" s="991"/>
      <c r="Z94" s="983"/>
      <c r="AA94" s="991"/>
      <c r="AB94" s="983"/>
      <c r="AC94" s="981"/>
      <c r="AD94" s="1044"/>
      <c r="AE94" s="985"/>
      <c r="AF94" s="1077"/>
      <c r="AG94" s="991"/>
      <c r="AH94" s="992"/>
      <c r="AI94" s="993"/>
      <c r="AJ94" s="994"/>
      <c r="AK94" s="990"/>
      <c r="AL94" s="986"/>
      <c r="AM94" s="991"/>
      <c r="AN94" s="1668"/>
      <c r="AO94" s="1185">
        <f>'вспом. план'!AN94</f>
        <v>0</v>
      </c>
      <c r="AP94" s="1188">
        <f t="shared" si="56"/>
        <v>0</v>
      </c>
    </row>
    <row r="95" spans="1:42" s="1037" customFormat="1" hidden="1" outlineLevel="1">
      <c r="A95" s="1083" t="s">
        <v>452</v>
      </c>
      <c r="B95" s="981"/>
      <c r="C95" s="983"/>
      <c r="D95" s="985"/>
      <c r="E95" s="983"/>
      <c r="F95" s="985"/>
      <c r="G95" s="1077"/>
      <c r="H95" s="1646"/>
      <c r="I95" s="981"/>
      <c r="J95" s="983"/>
      <c r="K95" s="985"/>
      <c r="L95" s="983"/>
      <c r="M95" s="981"/>
      <c r="N95" s="983"/>
      <c r="O95" s="985"/>
      <c r="P95" s="1077"/>
      <c r="Q95" s="991"/>
      <c r="R95" s="983"/>
      <c r="S95" s="1069"/>
      <c r="T95" s="1044"/>
      <c r="U95" s="991"/>
      <c r="V95" s="983"/>
      <c r="W95" s="1069"/>
      <c r="X95" s="1044"/>
      <c r="Y95" s="991"/>
      <c r="Z95" s="983"/>
      <c r="AA95" s="991"/>
      <c r="AB95" s="983"/>
      <c r="AC95" s="981"/>
      <c r="AD95" s="1044"/>
      <c r="AE95" s="985"/>
      <c r="AF95" s="1077"/>
      <c r="AG95" s="991"/>
      <c r="AH95" s="992"/>
      <c r="AI95" s="993"/>
      <c r="AJ95" s="994"/>
      <c r="AK95" s="990"/>
      <c r="AL95" s="986"/>
      <c r="AM95" s="991"/>
      <c r="AN95" s="1668"/>
      <c r="AO95" s="1185">
        <f>'вспом. план'!AN95</f>
        <v>0</v>
      </c>
      <c r="AP95" s="1188">
        <f t="shared" si="56"/>
        <v>0</v>
      </c>
    </row>
    <row r="96" spans="1:42" s="1037" customFormat="1" hidden="1" outlineLevel="1">
      <c r="A96" s="1083" t="s">
        <v>453</v>
      </c>
      <c r="B96" s="981"/>
      <c r="C96" s="983"/>
      <c r="D96" s="985"/>
      <c r="E96" s="983"/>
      <c r="F96" s="985"/>
      <c r="G96" s="1077"/>
      <c r="H96" s="1646"/>
      <c r="I96" s="981"/>
      <c r="J96" s="983"/>
      <c r="K96" s="985"/>
      <c r="L96" s="983"/>
      <c r="M96" s="981"/>
      <c r="N96" s="983"/>
      <c r="O96" s="985"/>
      <c r="P96" s="1077"/>
      <c r="Q96" s="991"/>
      <c r="R96" s="983"/>
      <c r="S96" s="1069"/>
      <c r="T96" s="1044"/>
      <c r="U96" s="991"/>
      <c r="V96" s="983"/>
      <c r="W96" s="1069"/>
      <c r="X96" s="1044"/>
      <c r="Y96" s="991"/>
      <c r="Z96" s="983"/>
      <c r="AA96" s="991"/>
      <c r="AB96" s="983"/>
      <c r="AC96" s="981"/>
      <c r="AD96" s="1044"/>
      <c r="AE96" s="985"/>
      <c r="AF96" s="1077"/>
      <c r="AG96" s="991"/>
      <c r="AH96" s="992"/>
      <c r="AI96" s="993"/>
      <c r="AJ96" s="994"/>
      <c r="AK96" s="990"/>
      <c r="AL96" s="986"/>
      <c r="AM96" s="991"/>
      <c r="AN96" s="1668"/>
      <c r="AO96" s="1185">
        <f>'вспом. план'!AN96</f>
        <v>0</v>
      </c>
      <c r="AP96" s="1188">
        <f t="shared" si="56"/>
        <v>0</v>
      </c>
    </row>
    <row r="97" spans="1:42" s="1037" customFormat="1" hidden="1" outlineLevel="1">
      <c r="A97" s="1086" t="s">
        <v>383</v>
      </c>
      <c r="B97" s="981"/>
      <c r="C97" s="983"/>
      <c r="D97" s="985"/>
      <c r="E97" s="983"/>
      <c r="F97" s="985"/>
      <c r="G97" s="1077"/>
      <c r="H97" s="1187"/>
      <c r="I97" s="981"/>
      <c r="J97" s="983"/>
      <c r="K97" s="985"/>
      <c r="L97" s="983"/>
      <c r="M97" s="981"/>
      <c r="N97" s="983"/>
      <c r="O97" s="985"/>
      <c r="P97" s="1077"/>
      <c r="Q97" s="981"/>
      <c r="R97" s="983"/>
      <c r="S97" s="985"/>
      <c r="T97" s="983"/>
      <c r="U97" s="981"/>
      <c r="V97" s="983"/>
      <c r="W97" s="985"/>
      <c r="X97" s="983"/>
      <c r="Y97" s="981"/>
      <c r="Z97" s="983"/>
      <c r="AA97" s="981"/>
      <c r="AB97" s="983"/>
      <c r="AC97" s="981"/>
      <c r="AD97" s="983"/>
      <c r="AE97" s="985"/>
      <c r="AF97" s="1077"/>
      <c r="AG97" s="981"/>
      <c r="AH97" s="992"/>
      <c r="AI97" s="993"/>
      <c r="AJ97" s="994"/>
      <c r="AK97" s="1077"/>
      <c r="AL97" s="1187"/>
      <c r="AM97" s="981"/>
      <c r="AN97" s="1668"/>
      <c r="AO97" s="1185">
        <f>'вспом. план'!AN97</f>
        <v>0</v>
      </c>
      <c r="AP97" s="1188">
        <f t="shared" si="56"/>
        <v>0</v>
      </c>
    </row>
    <row r="98" spans="1:42" s="1037" customFormat="1" collapsed="1">
      <c r="A98" s="1086" t="s">
        <v>384</v>
      </c>
      <c r="B98" s="2186">
        <v>1097.9309699999999</v>
      </c>
      <c r="C98" s="982"/>
      <c r="D98" s="982"/>
      <c r="E98" s="982"/>
      <c r="F98" s="982"/>
      <c r="G98" s="983"/>
      <c r="H98" s="1646">
        <f>SUM(C98:G98)</f>
        <v>0</v>
      </c>
      <c r="I98" s="981"/>
      <c r="J98" s="2188">
        <v>1.76</v>
      </c>
      <c r="K98" s="985"/>
      <c r="L98" s="983"/>
      <c r="M98" s="981">
        <f t="shared" ref="M98:M99" si="89">SUM(J98:L98)</f>
        <v>1.76</v>
      </c>
      <c r="N98" s="2188">
        <v>992.05654000000004</v>
      </c>
      <c r="O98" s="985"/>
      <c r="P98" s="1077"/>
      <c r="Q98" s="981">
        <f>SUM(N98:P98)</f>
        <v>992.05654000000004</v>
      </c>
      <c r="R98" s="2189">
        <v>52.652999999999999</v>
      </c>
      <c r="S98" s="985"/>
      <c r="T98" s="983"/>
      <c r="U98" s="981">
        <f>SUM(R98:T98)</f>
        <v>52.652999999999999</v>
      </c>
      <c r="V98" s="1187"/>
      <c r="W98" s="985"/>
      <c r="X98" s="983"/>
      <c r="Y98" s="981">
        <f>SUM(V98:X98)</f>
        <v>0</v>
      </c>
      <c r="Z98" s="2188">
        <v>43.387239999999998</v>
      </c>
      <c r="AA98" s="981"/>
      <c r="AB98" s="983"/>
      <c r="AC98" s="981">
        <f>B98+H98+I98+M98+Q98+U98+Y98+Z98+AA98+AB98</f>
        <v>2187.78775</v>
      </c>
      <c r="AD98" s="983"/>
      <c r="AE98" s="985"/>
      <c r="AF98" s="1077"/>
      <c r="AG98" s="991">
        <f>SUM(AD98:AF98)</f>
        <v>0</v>
      </c>
      <c r="AH98" s="992"/>
      <c r="AI98" s="993"/>
      <c r="AJ98" s="994"/>
      <c r="AK98" s="1077"/>
      <c r="AL98" s="1187"/>
      <c r="AM98" s="981"/>
      <c r="AN98" s="1668">
        <f t="shared" si="88"/>
        <v>2187.78775</v>
      </c>
      <c r="AO98" s="1185">
        <f>'вспом. план'!AN98</f>
        <v>1527.8704566895865</v>
      </c>
      <c r="AP98" s="1188">
        <f t="shared" si="56"/>
        <v>659.91729331041347</v>
      </c>
    </row>
    <row r="99" spans="1:42" s="1037" customFormat="1">
      <c r="A99" s="1086" t="s">
        <v>454</v>
      </c>
      <c r="B99" s="2186">
        <v>1552.7055700000001</v>
      </c>
      <c r="C99" s="982"/>
      <c r="D99" s="982"/>
      <c r="E99" s="982"/>
      <c r="F99" s="982"/>
      <c r="G99" s="983"/>
      <c r="H99" s="1646">
        <f>SUM(C99:G99)</f>
        <v>0</v>
      </c>
      <c r="I99" s="2186">
        <v>140.03281000000001</v>
      </c>
      <c r="J99" s="1800"/>
      <c r="K99" s="2205">
        <v>0.68469999999999998</v>
      </c>
      <c r="L99" s="2188">
        <f>128.91481-K99</f>
        <v>128.23011</v>
      </c>
      <c r="M99" s="981">
        <f t="shared" si="89"/>
        <v>128.91480999999999</v>
      </c>
      <c r="N99" s="2188">
        <v>261.62423999999999</v>
      </c>
      <c r="O99" s="985"/>
      <c r="P99" s="1077"/>
      <c r="Q99" s="981">
        <f>SUM(N99:P99)</f>
        <v>261.62423999999999</v>
      </c>
      <c r="R99" s="2189">
        <v>44.176000000000002</v>
      </c>
      <c r="S99" s="985"/>
      <c r="T99" s="983"/>
      <c r="U99" s="981">
        <f>SUM(R99:T99)</f>
        <v>44.176000000000002</v>
      </c>
      <c r="V99" s="1187"/>
      <c r="W99" s="985"/>
      <c r="X99" s="983"/>
      <c r="Y99" s="981">
        <f>SUM(V99:X99)</f>
        <v>0</v>
      </c>
      <c r="Z99" s="2188">
        <v>35.795859999999998</v>
      </c>
      <c r="AA99" s="981"/>
      <c r="AB99" s="983"/>
      <c r="AC99" s="981">
        <f>B99+H99+I99+M99+Q99+U99+Y99+Z99+AA99+AB99</f>
        <v>2163.2492900000002</v>
      </c>
      <c r="AD99" s="983"/>
      <c r="AE99" s="1801"/>
      <c r="AF99" s="1077"/>
      <c r="AG99" s="991">
        <f>SUM(AD99:AF99)</f>
        <v>0</v>
      </c>
      <c r="AH99" s="992"/>
      <c r="AI99" s="993"/>
      <c r="AJ99" s="994"/>
      <c r="AK99" s="1077"/>
      <c r="AL99" s="1187"/>
      <c r="AM99" s="981"/>
      <c r="AN99" s="1668">
        <f t="shared" si="88"/>
        <v>2163.2492900000002</v>
      </c>
      <c r="AO99" s="1185">
        <f>'вспом. план'!AN99</f>
        <v>2533.4267260405222</v>
      </c>
      <c r="AP99" s="1188">
        <f t="shared" si="56"/>
        <v>-370.17743604052202</v>
      </c>
    </row>
    <row r="100" spans="1:42" s="1037" customFormat="1">
      <c r="A100" s="1086" t="s">
        <v>455</v>
      </c>
      <c r="B100" s="981"/>
      <c r="C100" s="983"/>
      <c r="D100" s="985"/>
      <c r="E100" s="983"/>
      <c r="F100" s="985"/>
      <c r="G100" s="1077"/>
      <c r="H100" s="1646"/>
      <c r="I100" s="981"/>
      <c r="J100" s="983"/>
      <c r="K100" s="985"/>
      <c r="L100" s="983"/>
      <c r="M100" s="981"/>
      <c r="N100" s="983"/>
      <c r="O100" s="985"/>
      <c r="P100" s="1077"/>
      <c r="Q100" s="991">
        <f t="shared" si="83"/>
        <v>0</v>
      </c>
      <c r="R100" s="983"/>
      <c r="S100" s="1069"/>
      <c r="T100" s="1044"/>
      <c r="U100" s="991">
        <f>SUM(R100:T100)</f>
        <v>0</v>
      </c>
      <c r="V100" s="983"/>
      <c r="W100" s="1069"/>
      <c r="X100" s="1044"/>
      <c r="Y100" s="991">
        <f>SUM(V100:X100)</f>
        <v>0</v>
      </c>
      <c r="Z100" s="983"/>
      <c r="AA100" s="991"/>
      <c r="AB100" s="983"/>
      <c r="AC100" s="981">
        <f>B100+H100+I100+M100+Q100+U100+Y100+Z100+AA100+AB100</f>
        <v>0</v>
      </c>
      <c r="AD100" s="983"/>
      <c r="AE100" s="985"/>
      <c r="AF100" s="1077"/>
      <c r="AG100" s="991">
        <f>SUM(AD100:AF100)</f>
        <v>0</v>
      </c>
      <c r="AH100" s="992"/>
      <c r="AI100" s="993"/>
      <c r="AJ100" s="994"/>
      <c r="AK100" s="1077"/>
      <c r="AL100" s="1187"/>
      <c r="AM100" s="981"/>
      <c r="AN100" s="1668">
        <f t="shared" si="88"/>
        <v>0</v>
      </c>
      <c r="AO100" s="1185">
        <f>'вспом. план'!AN100</f>
        <v>0</v>
      </c>
      <c r="AP100" s="1188">
        <f t="shared" si="56"/>
        <v>0</v>
      </c>
    </row>
    <row r="101" spans="1:42" s="1037" customFormat="1">
      <c r="A101" s="1086" t="s">
        <v>456</v>
      </c>
      <c r="B101" s="981"/>
      <c r="C101" s="983"/>
      <c r="D101" s="985"/>
      <c r="E101" s="983"/>
      <c r="F101" s="985"/>
      <c r="G101" s="1077"/>
      <c r="H101" s="1646"/>
      <c r="I101" s="981"/>
      <c r="J101" s="983"/>
      <c r="K101" s="985"/>
      <c r="L101" s="983"/>
      <c r="M101" s="981"/>
      <c r="N101" s="2188">
        <v>19.9041</v>
      </c>
      <c r="O101" s="985"/>
      <c r="P101" s="1077"/>
      <c r="Q101" s="991">
        <f t="shared" si="83"/>
        <v>19.9041</v>
      </c>
      <c r="R101" s="983"/>
      <c r="S101" s="1069"/>
      <c r="T101" s="1044"/>
      <c r="U101" s="991">
        <f>SUM(R101:T101)</f>
        <v>0</v>
      </c>
      <c r="V101" s="983"/>
      <c r="W101" s="1069"/>
      <c r="X101" s="1044"/>
      <c r="Y101" s="991">
        <f>SUM(V101:X101)</f>
        <v>0</v>
      </c>
      <c r="Z101" s="983"/>
      <c r="AA101" s="991"/>
      <c r="AB101" s="983"/>
      <c r="AC101" s="981">
        <f>B101+H101+I101+M101+Q101+U101+Y101+Z101+AA101+AB101</f>
        <v>19.9041</v>
      </c>
      <c r="AD101" s="983"/>
      <c r="AE101" s="985"/>
      <c r="AF101" s="1077"/>
      <c r="AG101" s="991">
        <f>SUM(AD101:AF101)</f>
        <v>0</v>
      </c>
      <c r="AH101" s="992"/>
      <c r="AI101" s="993"/>
      <c r="AJ101" s="994"/>
      <c r="AK101" s="1077"/>
      <c r="AL101" s="1666"/>
      <c r="AM101" s="1081"/>
      <c r="AN101" s="1672">
        <f t="shared" si="88"/>
        <v>19.9041</v>
      </c>
      <c r="AO101" s="1185">
        <f>'вспом. план'!AN101</f>
        <v>0</v>
      </c>
      <c r="AP101" s="1188">
        <f t="shared" si="56"/>
        <v>19.9041</v>
      </c>
    </row>
    <row r="102" spans="1:42" s="1037" customFormat="1">
      <c r="A102" s="1086" t="s">
        <v>399</v>
      </c>
      <c r="B102" s="981">
        <f>B99+B100+B101</f>
        <v>1552.7055700000001</v>
      </c>
      <c r="C102" s="983"/>
      <c r="D102" s="985"/>
      <c r="E102" s="985"/>
      <c r="F102" s="985"/>
      <c r="G102" s="1077"/>
      <c r="H102" s="1187">
        <f>H99+H100+H101</f>
        <v>0</v>
      </c>
      <c r="I102" s="981">
        <f>I99+I100+I101</f>
        <v>140.03281000000001</v>
      </c>
      <c r="J102" s="983">
        <f t="shared" ref="J102:L102" si="90">J99+J100+J101</f>
        <v>0</v>
      </c>
      <c r="K102" s="985">
        <f t="shared" si="90"/>
        <v>0.68469999999999998</v>
      </c>
      <c r="L102" s="983">
        <f t="shared" si="90"/>
        <v>128.23011</v>
      </c>
      <c r="M102" s="981">
        <f>M99+M100+M101</f>
        <v>128.91480999999999</v>
      </c>
      <c r="N102" s="983">
        <f t="shared" ref="N102" si="91">N99+N100+N101</f>
        <v>281.52833999999996</v>
      </c>
      <c r="O102" s="985"/>
      <c r="P102" s="1077"/>
      <c r="Q102" s="981">
        <f>Q99+Q100+Q101</f>
        <v>281.52833999999996</v>
      </c>
      <c r="R102" s="1038">
        <f t="shared" ref="R102:T102" si="92">R99+R100+R101</f>
        <v>44.176000000000002</v>
      </c>
      <c r="S102" s="985">
        <f t="shared" si="92"/>
        <v>0</v>
      </c>
      <c r="T102" s="983">
        <f t="shared" si="92"/>
        <v>0</v>
      </c>
      <c r="U102" s="981">
        <f t="shared" ref="U102:AO102" si="93">SUM(U99:U101)</f>
        <v>44.176000000000002</v>
      </c>
      <c r="V102" s="1038">
        <f t="shared" ref="V102:X102" si="94">V99+V100+V101</f>
        <v>0</v>
      </c>
      <c r="W102" s="985">
        <f t="shared" si="94"/>
        <v>0</v>
      </c>
      <c r="X102" s="983">
        <f t="shared" si="94"/>
        <v>0</v>
      </c>
      <c r="Y102" s="981">
        <f t="shared" si="93"/>
        <v>0</v>
      </c>
      <c r="Z102" s="983">
        <f t="shared" ref="Z102:AB102" si="95">Z99+Z100+Z101</f>
        <v>35.795859999999998</v>
      </c>
      <c r="AA102" s="981">
        <f t="shared" si="95"/>
        <v>0</v>
      </c>
      <c r="AB102" s="983">
        <f t="shared" si="95"/>
        <v>0</v>
      </c>
      <c r="AC102" s="981">
        <f t="shared" si="93"/>
        <v>2183.1533900000004</v>
      </c>
      <c r="AD102" s="983">
        <f t="shared" si="93"/>
        <v>0</v>
      </c>
      <c r="AE102" s="985">
        <f t="shared" si="93"/>
        <v>0</v>
      </c>
      <c r="AF102" s="1077">
        <f t="shared" si="93"/>
        <v>0</v>
      </c>
      <c r="AG102" s="981">
        <f t="shared" si="93"/>
        <v>0</v>
      </c>
      <c r="AH102" s="992"/>
      <c r="AI102" s="993"/>
      <c r="AJ102" s="994"/>
      <c r="AK102" s="1077">
        <f t="shared" si="93"/>
        <v>0</v>
      </c>
      <c r="AL102" s="1187">
        <f t="shared" si="93"/>
        <v>0</v>
      </c>
      <c r="AM102" s="981">
        <f t="shared" si="93"/>
        <v>0</v>
      </c>
      <c r="AN102" s="1673">
        <f t="shared" si="93"/>
        <v>2183.1533900000004</v>
      </c>
      <c r="AO102" s="981">
        <f t="shared" si="93"/>
        <v>2533.4267260405222</v>
      </c>
      <c r="AP102" s="981">
        <f t="shared" si="56"/>
        <v>-350.27333604052183</v>
      </c>
    </row>
    <row r="103" spans="1:42" s="1037" customFormat="1">
      <c r="A103" s="1086" t="s">
        <v>386</v>
      </c>
      <c r="B103" s="981"/>
      <c r="C103" s="982"/>
      <c r="D103" s="982"/>
      <c r="E103" s="982"/>
      <c r="F103" s="982"/>
      <c r="G103" s="983"/>
      <c r="H103" s="1646">
        <f t="shared" ref="H103:H108" si="96">SUM(C103:G103)</f>
        <v>0</v>
      </c>
      <c r="I103" s="2186">
        <v>3</v>
      </c>
      <c r="J103" s="983"/>
      <c r="K103" s="985"/>
      <c r="L103" s="2188">
        <v>16.547969999999999</v>
      </c>
      <c r="M103" s="981">
        <f t="shared" ref="M103:M108" si="97">SUM(J103:L103)</f>
        <v>16.547969999999999</v>
      </c>
      <c r="N103" s="983"/>
      <c r="O103" s="985"/>
      <c r="P103" s="1077"/>
      <c r="Q103" s="981">
        <f t="shared" ref="Q103:Q108" si="98">SUM(N103:P103)</f>
        <v>0</v>
      </c>
      <c r="R103" s="2189">
        <v>6.069</v>
      </c>
      <c r="S103" s="985"/>
      <c r="T103" s="983"/>
      <c r="U103" s="981">
        <f t="shared" ref="U103:U108" si="99">SUM(R103:T103)</f>
        <v>6.069</v>
      </c>
      <c r="V103" s="2189">
        <v>2979.1877199999999</v>
      </c>
      <c r="W103" s="985"/>
      <c r="X103" s="983"/>
      <c r="Y103" s="981">
        <f t="shared" ref="Y103:Y108" si="100">SUM(V103:X103)</f>
        <v>2979.1877199999999</v>
      </c>
      <c r="Z103" s="2188">
        <v>4.7832400000000002</v>
      </c>
      <c r="AA103" s="981"/>
      <c r="AB103" s="983"/>
      <c r="AC103" s="981">
        <f t="shared" ref="AC103:AC108" si="101">B103+H103+I103+M103+Q103+U103+Y103+Z103+AA103+AB103</f>
        <v>3009.5879300000001</v>
      </c>
      <c r="AD103" s="983"/>
      <c r="AE103" s="985"/>
      <c r="AF103" s="1077"/>
      <c r="AG103" s="991">
        <f t="shared" ref="AG103:AG108" si="102">SUM(AD103:AF103)</f>
        <v>0</v>
      </c>
      <c r="AH103" s="992"/>
      <c r="AI103" s="993"/>
      <c r="AJ103" s="994"/>
      <c r="AK103" s="1077"/>
      <c r="AL103" s="986"/>
      <c r="AM103" s="991"/>
      <c r="AN103" s="1668">
        <f t="shared" ref="AN103:AN108" si="103">AC103+AG103+AK103+AL103+AM103</f>
        <v>3009.5879300000001</v>
      </c>
      <c r="AO103" s="1185">
        <f>'вспом. план'!AN103</f>
        <v>97.344384155696218</v>
      </c>
      <c r="AP103" s="1188">
        <f t="shared" si="56"/>
        <v>2912.2435458443038</v>
      </c>
    </row>
    <row r="104" spans="1:42" s="1037" customFormat="1">
      <c r="A104" s="1086" t="s">
        <v>387</v>
      </c>
      <c r="B104" s="981"/>
      <c r="C104" s="982"/>
      <c r="D104" s="982"/>
      <c r="E104" s="982"/>
      <c r="F104" s="982"/>
      <c r="G104" s="983"/>
      <c r="H104" s="1646">
        <f t="shared" si="96"/>
        <v>0</v>
      </c>
      <c r="I104" s="2186">
        <v>34.700000000000003</v>
      </c>
      <c r="J104" s="983"/>
      <c r="K104" s="985"/>
      <c r="L104" s="2188">
        <v>278.78399999999999</v>
      </c>
      <c r="M104" s="981">
        <f t="shared" si="97"/>
        <v>278.78399999999999</v>
      </c>
      <c r="N104" s="2188">
        <v>1131.9459999999999</v>
      </c>
      <c r="O104" s="985"/>
      <c r="P104" s="1077"/>
      <c r="Q104" s="981">
        <f t="shared" si="98"/>
        <v>1131.9459999999999</v>
      </c>
      <c r="R104" s="2189">
        <v>8.7119999999999997</v>
      </c>
      <c r="S104" s="985"/>
      <c r="T104" s="983"/>
      <c r="U104" s="981">
        <f t="shared" si="99"/>
        <v>8.7119999999999997</v>
      </c>
      <c r="V104" s="2189">
        <v>72.341269999999994</v>
      </c>
      <c r="W104" s="985"/>
      <c r="X104" s="983"/>
      <c r="Y104" s="981">
        <f t="shared" si="100"/>
        <v>72.341269999999994</v>
      </c>
      <c r="Z104" s="2188">
        <v>7.0303500000000003</v>
      </c>
      <c r="AA104" s="981"/>
      <c r="AB104" s="983"/>
      <c r="AC104" s="981">
        <f t="shared" si="101"/>
        <v>1533.5136199999997</v>
      </c>
      <c r="AD104" s="983"/>
      <c r="AE104" s="985"/>
      <c r="AF104" s="1077"/>
      <c r="AG104" s="991">
        <f t="shared" si="102"/>
        <v>0</v>
      </c>
      <c r="AH104" s="992"/>
      <c r="AI104" s="993"/>
      <c r="AJ104" s="994"/>
      <c r="AK104" s="1077"/>
      <c r="AL104" s="1187"/>
      <c r="AM104" s="981"/>
      <c r="AN104" s="1668">
        <f t="shared" si="103"/>
        <v>1533.5136199999997</v>
      </c>
      <c r="AO104" s="1185">
        <f>'вспом. план'!AN104</f>
        <v>2082.3631064949341</v>
      </c>
      <c r="AP104" s="1188">
        <f t="shared" si="56"/>
        <v>-548.84948649493435</v>
      </c>
    </row>
    <row r="105" spans="1:42" s="1037" customFormat="1">
      <c r="A105" s="1086" t="s">
        <v>388</v>
      </c>
      <c r="B105" s="981"/>
      <c r="C105" s="982"/>
      <c r="D105" s="982"/>
      <c r="E105" s="982"/>
      <c r="F105" s="982"/>
      <c r="G105" s="983"/>
      <c r="H105" s="1646">
        <f t="shared" si="96"/>
        <v>0</v>
      </c>
      <c r="I105" s="981"/>
      <c r="J105" s="983"/>
      <c r="K105" s="985"/>
      <c r="L105" s="2188">
        <v>0.375</v>
      </c>
      <c r="M105" s="981">
        <f t="shared" si="97"/>
        <v>0.375</v>
      </c>
      <c r="N105" s="2188">
        <v>718.84082999999998</v>
      </c>
      <c r="O105" s="985"/>
      <c r="P105" s="1077"/>
      <c r="Q105" s="981">
        <f t="shared" si="98"/>
        <v>718.84082999999998</v>
      </c>
      <c r="R105" s="1187"/>
      <c r="S105" s="2205">
        <v>4.1196000000000002</v>
      </c>
      <c r="T105" s="983"/>
      <c r="U105" s="981">
        <f t="shared" si="99"/>
        <v>4.1196000000000002</v>
      </c>
      <c r="V105" s="1187"/>
      <c r="W105" s="985"/>
      <c r="X105" s="983"/>
      <c r="Y105" s="981">
        <f t="shared" si="100"/>
        <v>0</v>
      </c>
      <c r="Z105" s="983"/>
      <c r="AA105" s="981"/>
      <c r="AB105" s="983"/>
      <c r="AC105" s="981">
        <f t="shared" si="101"/>
        <v>723.33542999999997</v>
      </c>
      <c r="AD105" s="983"/>
      <c r="AE105" s="985"/>
      <c r="AF105" s="1077"/>
      <c r="AG105" s="991">
        <f t="shared" si="102"/>
        <v>0</v>
      </c>
      <c r="AH105" s="992"/>
      <c r="AI105" s="993"/>
      <c r="AJ105" s="994"/>
      <c r="AK105" s="1077"/>
      <c r="AL105" s="1187"/>
      <c r="AM105" s="981"/>
      <c r="AN105" s="1668">
        <f t="shared" si="103"/>
        <v>723.33542999999997</v>
      </c>
      <c r="AO105" s="1185">
        <f>'вспом. план'!AN105</f>
        <v>1428.2844414156496</v>
      </c>
      <c r="AP105" s="1190">
        <f t="shared" si="56"/>
        <v>-704.94901141564958</v>
      </c>
    </row>
    <row r="106" spans="1:42" s="1037" customFormat="1">
      <c r="A106" s="1086" t="s">
        <v>389</v>
      </c>
      <c r="B106" s="2186">
        <v>62.4</v>
      </c>
      <c r="C106" s="982"/>
      <c r="D106" s="982"/>
      <c r="E106" s="982"/>
      <c r="F106" s="982"/>
      <c r="G106" s="983"/>
      <c r="H106" s="1646">
        <f t="shared" si="96"/>
        <v>0</v>
      </c>
      <c r="I106" s="2186">
        <v>376.27600000000001</v>
      </c>
      <c r="J106" s="983"/>
      <c r="K106" s="985"/>
      <c r="L106" s="2188">
        <v>0.45</v>
      </c>
      <c r="M106" s="981">
        <f t="shared" si="97"/>
        <v>0.45</v>
      </c>
      <c r="N106" s="2188">
        <v>875.01085</v>
      </c>
      <c r="O106" s="985"/>
      <c r="P106" s="1077"/>
      <c r="Q106" s="981">
        <f t="shared" si="98"/>
        <v>875.01085</v>
      </c>
      <c r="R106" s="1187"/>
      <c r="S106" s="985"/>
      <c r="T106" s="983"/>
      <c r="U106" s="981">
        <f t="shared" si="99"/>
        <v>0</v>
      </c>
      <c r="V106" s="1187"/>
      <c r="W106" s="985"/>
      <c r="X106" s="983"/>
      <c r="Y106" s="981">
        <f t="shared" si="100"/>
        <v>0</v>
      </c>
      <c r="Z106" s="983"/>
      <c r="AA106" s="981"/>
      <c r="AB106" s="983"/>
      <c r="AC106" s="981">
        <f t="shared" si="101"/>
        <v>1314.1368499999999</v>
      </c>
      <c r="AD106" s="983"/>
      <c r="AE106" s="985"/>
      <c r="AF106" s="1077"/>
      <c r="AG106" s="991">
        <f t="shared" si="102"/>
        <v>0</v>
      </c>
      <c r="AH106" s="992"/>
      <c r="AI106" s="993"/>
      <c r="AJ106" s="994"/>
      <c r="AK106" s="1077"/>
      <c r="AL106" s="1187"/>
      <c r="AM106" s="981"/>
      <c r="AN106" s="1668">
        <f t="shared" si="103"/>
        <v>1314.1368499999999</v>
      </c>
      <c r="AO106" s="1185">
        <f>'вспом. план'!AN106</f>
        <v>1243.255829999277</v>
      </c>
      <c r="AP106" s="1190">
        <f t="shared" si="56"/>
        <v>70.881020000722856</v>
      </c>
    </row>
    <row r="107" spans="1:42" s="1037" customFormat="1">
      <c r="A107" s="1086" t="s">
        <v>390</v>
      </c>
      <c r="B107" s="2186">
        <v>75.856999999999999</v>
      </c>
      <c r="C107" s="982"/>
      <c r="D107" s="982"/>
      <c r="E107" s="982"/>
      <c r="F107" s="982"/>
      <c r="G107" s="983"/>
      <c r="H107" s="1646">
        <f t="shared" si="96"/>
        <v>0</v>
      </c>
      <c r="I107" s="981"/>
      <c r="J107" s="983"/>
      <c r="K107" s="985"/>
      <c r="L107" s="983"/>
      <c r="M107" s="981">
        <f t="shared" si="97"/>
        <v>0</v>
      </c>
      <c r="N107" s="2188"/>
      <c r="O107" s="985"/>
      <c r="P107" s="1077"/>
      <c r="Q107" s="981">
        <f t="shared" si="98"/>
        <v>0</v>
      </c>
      <c r="R107" s="1187"/>
      <c r="S107" s="985"/>
      <c r="T107" s="983"/>
      <c r="U107" s="981">
        <f t="shared" si="99"/>
        <v>0</v>
      </c>
      <c r="V107" s="1187"/>
      <c r="W107" s="985"/>
      <c r="X107" s="983"/>
      <c r="Y107" s="981">
        <f t="shared" si="100"/>
        <v>0</v>
      </c>
      <c r="Z107" s="983"/>
      <c r="AA107" s="981"/>
      <c r="AB107" s="983"/>
      <c r="AC107" s="981">
        <f t="shared" si="101"/>
        <v>75.856999999999999</v>
      </c>
      <c r="AD107" s="983"/>
      <c r="AE107" s="985"/>
      <c r="AF107" s="1077"/>
      <c r="AG107" s="991">
        <f t="shared" si="102"/>
        <v>0</v>
      </c>
      <c r="AH107" s="992"/>
      <c r="AI107" s="993"/>
      <c r="AJ107" s="994"/>
      <c r="AK107" s="1077"/>
      <c r="AL107" s="1187"/>
      <c r="AM107" s="981"/>
      <c r="AN107" s="1668">
        <f t="shared" si="103"/>
        <v>75.856999999999999</v>
      </c>
      <c r="AO107" s="1185">
        <f>'вспом. план'!AN107</f>
        <v>106.67684072174455</v>
      </c>
      <c r="AP107" s="1186">
        <f t="shared" si="56"/>
        <v>-30.819840721744555</v>
      </c>
    </row>
    <row r="108" spans="1:42" s="1037" customFormat="1" ht="10.5" thickBot="1">
      <c r="A108" s="1645" t="s">
        <v>571</v>
      </c>
      <c r="B108" s="2186">
        <v>112.38654</v>
      </c>
      <c r="C108" s="982"/>
      <c r="D108" s="982"/>
      <c r="E108" s="982"/>
      <c r="F108" s="982"/>
      <c r="G108" s="983"/>
      <c r="H108" s="1646">
        <f t="shared" si="96"/>
        <v>0</v>
      </c>
      <c r="I108" s="2186">
        <v>842.86548000000005</v>
      </c>
      <c r="J108" s="983"/>
      <c r="K108" s="1209"/>
      <c r="L108" s="983"/>
      <c r="M108" s="1088">
        <f t="shared" si="97"/>
        <v>0</v>
      </c>
      <c r="N108" s="2188">
        <v>21.874680000000001</v>
      </c>
      <c r="O108" s="1209"/>
      <c r="P108" s="1077"/>
      <c r="Q108" s="981">
        <f t="shared" si="98"/>
        <v>21.874680000000001</v>
      </c>
      <c r="R108" s="1187"/>
      <c r="S108" s="985"/>
      <c r="T108" s="983"/>
      <c r="U108" s="981">
        <f t="shared" si="99"/>
        <v>0</v>
      </c>
      <c r="V108" s="1187"/>
      <c r="W108" s="985"/>
      <c r="X108" s="983"/>
      <c r="Y108" s="981">
        <f t="shared" si="100"/>
        <v>0</v>
      </c>
      <c r="Z108" s="983"/>
      <c r="AA108" s="981"/>
      <c r="AB108" s="983"/>
      <c r="AC108" s="981">
        <f t="shared" si="101"/>
        <v>977.12670000000003</v>
      </c>
      <c r="AD108" s="1001"/>
      <c r="AE108" s="1663"/>
      <c r="AF108" s="1080"/>
      <c r="AG108" s="991">
        <f t="shared" si="102"/>
        <v>0</v>
      </c>
      <c r="AH108" s="992"/>
      <c r="AI108" s="993"/>
      <c r="AJ108" s="994"/>
      <c r="AK108" s="1089"/>
      <c r="AL108" s="1666"/>
      <c r="AM108" s="1081"/>
      <c r="AN108" s="1668">
        <f t="shared" si="103"/>
        <v>977.12670000000003</v>
      </c>
      <c r="AO108" s="1185">
        <f>'вспом. план'!AN108</f>
        <v>1102.8680673442673</v>
      </c>
      <c r="AP108" s="1190">
        <f t="shared" si="56"/>
        <v>-125.74136734426725</v>
      </c>
    </row>
    <row r="109" spans="1:42" s="1037" customFormat="1" ht="17.25" thickBot="1">
      <c r="A109" s="1090" t="s">
        <v>400</v>
      </c>
      <c r="B109" s="1063">
        <f>SUM(B110:B112)</f>
        <v>878.92232000000001</v>
      </c>
      <c r="C109" s="1067">
        <f t="shared" ref="C109:AG109" si="104">SUM(C110:C112)</f>
        <v>0</v>
      </c>
      <c r="D109" s="1063">
        <f t="shared" si="104"/>
        <v>0</v>
      </c>
      <c r="E109" s="1063">
        <f t="shared" si="104"/>
        <v>0</v>
      </c>
      <c r="F109" s="1063">
        <f t="shared" si="104"/>
        <v>0</v>
      </c>
      <c r="G109" s="1063">
        <f t="shared" si="104"/>
        <v>0</v>
      </c>
      <c r="H109" s="1082">
        <f t="shared" si="104"/>
        <v>0</v>
      </c>
      <c r="I109" s="1063">
        <f t="shared" si="104"/>
        <v>6525.04756</v>
      </c>
      <c r="J109" s="1064">
        <f t="shared" si="104"/>
        <v>846.60339999999997</v>
      </c>
      <c r="K109" s="1652">
        <f t="shared" si="104"/>
        <v>0</v>
      </c>
      <c r="L109" s="1064">
        <f t="shared" si="104"/>
        <v>127.1169</v>
      </c>
      <c r="M109" s="1091">
        <f t="shared" si="104"/>
        <v>973.72029999999995</v>
      </c>
      <c r="N109" s="1064">
        <f t="shared" si="104"/>
        <v>508.50263000000001</v>
      </c>
      <c r="O109" s="1065">
        <f t="shared" si="104"/>
        <v>0</v>
      </c>
      <c r="P109" s="1067">
        <f t="shared" si="104"/>
        <v>0</v>
      </c>
      <c r="Q109" s="1063">
        <f t="shared" si="104"/>
        <v>508.50263000000001</v>
      </c>
      <c r="R109" s="1082">
        <f t="shared" si="104"/>
        <v>9.5250000000000004</v>
      </c>
      <c r="S109" s="1065">
        <f t="shared" si="104"/>
        <v>3.8224300000000002</v>
      </c>
      <c r="T109" s="1064">
        <f t="shared" si="104"/>
        <v>0</v>
      </c>
      <c r="U109" s="1063">
        <f t="shared" si="104"/>
        <v>13.347430000000001</v>
      </c>
      <c r="V109" s="1082">
        <f t="shared" si="104"/>
        <v>302.78350999999998</v>
      </c>
      <c r="W109" s="1065">
        <f t="shared" si="104"/>
        <v>0</v>
      </c>
      <c r="X109" s="1064">
        <f t="shared" si="104"/>
        <v>0</v>
      </c>
      <c r="Y109" s="1063">
        <f t="shared" si="104"/>
        <v>302.78350999999998</v>
      </c>
      <c r="Z109" s="1064">
        <f t="shared" si="104"/>
        <v>0</v>
      </c>
      <c r="AA109" s="1063">
        <f t="shared" si="104"/>
        <v>0</v>
      </c>
      <c r="AB109" s="1064">
        <f t="shared" si="104"/>
        <v>0</v>
      </c>
      <c r="AC109" s="1063">
        <f t="shared" si="104"/>
        <v>9202.3237499999996</v>
      </c>
      <c r="AD109" s="1064">
        <f t="shared" si="104"/>
        <v>0</v>
      </c>
      <c r="AE109" s="1065">
        <f t="shared" si="104"/>
        <v>0</v>
      </c>
      <c r="AF109" s="1067">
        <f t="shared" si="104"/>
        <v>0</v>
      </c>
      <c r="AG109" s="1063">
        <f t="shared" si="104"/>
        <v>0</v>
      </c>
      <c r="AH109" s="992"/>
      <c r="AI109" s="993"/>
      <c r="AJ109" s="994"/>
      <c r="AK109" s="1067">
        <f>SUM(AK110:AK112)</f>
        <v>0</v>
      </c>
      <c r="AL109" s="1082">
        <f>SUM(AL110:AL112)</f>
        <v>0</v>
      </c>
      <c r="AM109" s="1063">
        <f>SUM(AM110:AM112)</f>
        <v>0</v>
      </c>
      <c r="AN109" s="1067">
        <f>SUM(AN110:AN112)</f>
        <v>9202.3237499999996</v>
      </c>
      <c r="AO109" s="1063">
        <f>SUM(AO110:AO112)</f>
        <v>9324.9429680270714</v>
      </c>
      <c r="AP109" s="1063">
        <f t="shared" si="56"/>
        <v>-122.61921802707184</v>
      </c>
    </row>
    <row r="110" spans="1:42" s="1037" customFormat="1">
      <c r="A110" s="1083" t="s">
        <v>639</v>
      </c>
      <c r="B110" s="2186">
        <v>760.98231999999996</v>
      </c>
      <c r="C110" s="982"/>
      <c r="D110" s="982"/>
      <c r="E110" s="982"/>
      <c r="F110" s="982"/>
      <c r="G110" s="983"/>
      <c r="H110" s="1646">
        <f t="shared" ref="H110:H115" si="105">SUM(C110:G110)</f>
        <v>0</v>
      </c>
      <c r="I110" s="2186">
        <v>4587.8737700000001</v>
      </c>
      <c r="J110" s="983"/>
      <c r="K110" s="1069"/>
      <c r="L110" s="2188">
        <v>78.747100000000003</v>
      </c>
      <c r="M110" s="981">
        <f t="shared" ref="M110:M113" si="106">SUM(J110:L110)</f>
        <v>78.747100000000003</v>
      </c>
      <c r="N110" s="983"/>
      <c r="O110" s="1184"/>
      <c r="P110" s="1077"/>
      <c r="Q110" s="981">
        <f t="shared" ref="Q110:Q115" si="107">SUM(N110:P110)</f>
        <v>0</v>
      </c>
      <c r="R110" s="1187"/>
      <c r="S110" s="985"/>
      <c r="T110" s="983"/>
      <c r="U110" s="981">
        <f t="shared" ref="U110:U115" si="108">SUM(R110:T110)</f>
        <v>0</v>
      </c>
      <c r="V110" s="1187"/>
      <c r="W110" s="985"/>
      <c r="X110" s="983"/>
      <c r="Y110" s="981">
        <f t="shared" ref="Y110:Y116" si="109">SUM(V110:X110)</f>
        <v>0</v>
      </c>
      <c r="Z110" s="983"/>
      <c r="AA110" s="981"/>
      <c r="AB110" s="983"/>
      <c r="AC110" s="981">
        <f t="shared" ref="AC110:AC126" si="110">B110+H110+I110+M110+Q110+U110+Y110+Z110+AA110+AB110</f>
        <v>5427.6031899999998</v>
      </c>
      <c r="AD110" s="1044"/>
      <c r="AE110" s="1069"/>
      <c r="AF110" s="990"/>
      <c r="AG110" s="991">
        <f t="shared" ref="AG110:AG122" si="111">SUM(AD110:AF110)</f>
        <v>0</v>
      </c>
      <c r="AH110" s="992"/>
      <c r="AI110" s="993"/>
      <c r="AJ110" s="994"/>
      <c r="AK110" s="990"/>
      <c r="AL110" s="1667"/>
      <c r="AM110" s="1084"/>
      <c r="AN110" s="1674">
        <f t="shared" ref="AN110:AN115" si="112">AC110+AG110+AK110+AL110+AM110</f>
        <v>5427.6031899999998</v>
      </c>
      <c r="AO110" s="1185">
        <f>'вспом. план'!AN110</f>
        <v>6041.6410747960026</v>
      </c>
      <c r="AP110" s="1691">
        <f t="shared" si="56"/>
        <v>-614.0378847960028</v>
      </c>
    </row>
    <row r="111" spans="1:42" s="1037" customFormat="1">
      <c r="A111" s="1093" t="s">
        <v>466</v>
      </c>
      <c r="B111" s="2186">
        <v>26.24</v>
      </c>
      <c r="C111" s="982"/>
      <c r="D111" s="982"/>
      <c r="E111" s="982"/>
      <c r="F111" s="982"/>
      <c r="G111" s="983"/>
      <c r="H111" s="1646">
        <f t="shared" si="105"/>
        <v>0</v>
      </c>
      <c r="I111" s="2186">
        <v>655.44816000000003</v>
      </c>
      <c r="J111" s="983"/>
      <c r="K111" s="985"/>
      <c r="L111" s="2105"/>
      <c r="M111" s="981">
        <f t="shared" si="106"/>
        <v>0</v>
      </c>
      <c r="N111" s="2188">
        <v>508.50263000000001</v>
      </c>
      <c r="O111" s="985"/>
      <c r="P111" s="1077"/>
      <c r="Q111" s="981">
        <f t="shared" si="107"/>
        <v>508.50263000000001</v>
      </c>
      <c r="R111" s="2189">
        <v>9.5250000000000004</v>
      </c>
      <c r="S111" s="985"/>
      <c r="T111" s="983"/>
      <c r="U111" s="981">
        <f t="shared" si="108"/>
        <v>9.5250000000000004</v>
      </c>
      <c r="V111" s="2189">
        <v>302.78350999999998</v>
      </c>
      <c r="W111" s="985"/>
      <c r="X111" s="983"/>
      <c r="Y111" s="981">
        <f t="shared" si="109"/>
        <v>302.78350999999998</v>
      </c>
      <c r="Z111" s="983"/>
      <c r="AA111" s="981"/>
      <c r="AB111" s="983"/>
      <c r="AC111" s="981">
        <f t="shared" si="110"/>
        <v>1502.4993000000002</v>
      </c>
      <c r="AD111" s="983"/>
      <c r="AE111" s="985"/>
      <c r="AF111" s="1077"/>
      <c r="AG111" s="991">
        <f t="shared" si="111"/>
        <v>0</v>
      </c>
      <c r="AH111" s="992"/>
      <c r="AI111" s="993"/>
      <c r="AJ111" s="994"/>
      <c r="AK111" s="1077"/>
      <c r="AL111" s="1187"/>
      <c r="AM111" s="981"/>
      <c r="AN111" s="1671">
        <f t="shared" si="112"/>
        <v>1502.4993000000002</v>
      </c>
      <c r="AO111" s="1185">
        <f>'вспом. план'!AN111</f>
        <v>839.70447369497947</v>
      </c>
      <c r="AP111" s="1188">
        <f t="shared" si="56"/>
        <v>662.79482630502071</v>
      </c>
    </row>
    <row r="112" spans="1:42" s="1037" customFormat="1" ht="10.5" thickBot="1">
      <c r="A112" s="1093" t="s">
        <v>467</v>
      </c>
      <c r="B112" s="2186">
        <v>91.7</v>
      </c>
      <c r="C112" s="982"/>
      <c r="D112" s="982"/>
      <c r="E112" s="982"/>
      <c r="F112" s="982"/>
      <c r="G112" s="983"/>
      <c r="H112" s="1646">
        <f t="shared" si="105"/>
        <v>0</v>
      </c>
      <c r="I112" s="2186">
        <v>1281.7256299999999</v>
      </c>
      <c r="J112" s="2188">
        <v>846.60339999999997</v>
      </c>
      <c r="K112" s="1813"/>
      <c r="L112" s="2188">
        <f>127.1169-L110</f>
        <v>48.369799999999998</v>
      </c>
      <c r="M112" s="1088">
        <f t="shared" si="106"/>
        <v>894.97319999999991</v>
      </c>
      <c r="N112" s="983"/>
      <c r="O112" s="1209"/>
      <c r="P112" s="1077"/>
      <c r="Q112" s="981">
        <f t="shared" si="107"/>
        <v>0</v>
      </c>
      <c r="R112" s="1187"/>
      <c r="S112" s="2205">
        <v>3.8224300000000002</v>
      </c>
      <c r="T112" s="983"/>
      <c r="U112" s="981">
        <f t="shared" si="108"/>
        <v>3.8224300000000002</v>
      </c>
      <c r="V112" s="1187"/>
      <c r="W112" s="985"/>
      <c r="X112" s="983"/>
      <c r="Y112" s="981">
        <f t="shared" si="109"/>
        <v>0</v>
      </c>
      <c r="Z112" s="983"/>
      <c r="AA112" s="981"/>
      <c r="AB112" s="983"/>
      <c r="AC112" s="981">
        <f t="shared" si="110"/>
        <v>2272.2212600000003</v>
      </c>
      <c r="AD112" s="983"/>
      <c r="AE112" s="985"/>
      <c r="AF112" s="1077"/>
      <c r="AG112" s="991">
        <f t="shared" si="111"/>
        <v>0</v>
      </c>
      <c r="AH112" s="992"/>
      <c r="AI112" s="993"/>
      <c r="AJ112" s="994"/>
      <c r="AK112" s="1077"/>
      <c r="AL112" s="1187"/>
      <c r="AM112" s="981"/>
      <c r="AN112" s="1668">
        <f t="shared" si="112"/>
        <v>2272.2212600000003</v>
      </c>
      <c r="AO112" s="1689">
        <f>'вспом. план'!AN112</f>
        <v>2443.5974195360891</v>
      </c>
      <c r="AP112" s="1190">
        <f t="shared" si="56"/>
        <v>-171.37615953608884</v>
      </c>
    </row>
    <row r="113" spans="1:42" s="1037" customFormat="1" ht="10.5" thickBot="1">
      <c r="A113" s="1090" t="s">
        <v>401</v>
      </c>
      <c r="B113" s="2192">
        <v>214.1215</v>
      </c>
      <c r="C113" s="1067"/>
      <c r="D113" s="1063"/>
      <c r="E113" s="1063"/>
      <c r="F113" s="1063"/>
      <c r="G113" s="1063"/>
      <c r="H113" s="1082">
        <f t="shared" si="105"/>
        <v>0</v>
      </c>
      <c r="I113" s="2192">
        <v>254.62769</v>
      </c>
      <c r="J113" s="2200">
        <v>1348.9860200000001</v>
      </c>
      <c r="K113" s="2207">
        <v>2456.2433099999998</v>
      </c>
      <c r="L113" s="2200">
        <v>116.9</v>
      </c>
      <c r="M113" s="1091">
        <f t="shared" si="106"/>
        <v>3922.1293300000002</v>
      </c>
      <c r="N113" s="2200">
        <v>3649.9065599999999</v>
      </c>
      <c r="O113" s="1065"/>
      <c r="P113" s="1067"/>
      <c r="Q113" s="1063">
        <f t="shared" si="107"/>
        <v>3649.9065599999999</v>
      </c>
      <c r="R113" s="2219">
        <v>75.591999999999999</v>
      </c>
      <c r="S113" s="1065"/>
      <c r="T113" s="1064"/>
      <c r="U113" s="1063">
        <f t="shared" si="108"/>
        <v>75.591999999999999</v>
      </c>
      <c r="V113" s="2219">
        <v>54.555540000000001</v>
      </c>
      <c r="W113" s="1065"/>
      <c r="X113" s="1064"/>
      <c r="Y113" s="1063">
        <f t="shared" si="109"/>
        <v>54.555540000000001</v>
      </c>
      <c r="Z113" s="2200">
        <v>69.772559999999999</v>
      </c>
      <c r="AA113" s="1063"/>
      <c r="AB113" s="1064"/>
      <c r="AC113" s="1063">
        <f t="shared" si="110"/>
        <v>8240.705179999999</v>
      </c>
      <c r="AD113" s="1064"/>
      <c r="AE113" s="1065"/>
      <c r="AF113" s="1067"/>
      <c r="AG113" s="1063">
        <f t="shared" si="111"/>
        <v>0</v>
      </c>
      <c r="AH113" s="992"/>
      <c r="AI113" s="993"/>
      <c r="AJ113" s="994"/>
      <c r="AK113" s="1067"/>
      <c r="AL113" s="2219">
        <f>AK53</f>
        <v>767.78769</v>
      </c>
      <c r="AM113" s="1063"/>
      <c r="AN113" s="1067">
        <f t="shared" si="112"/>
        <v>9008.4928699999982</v>
      </c>
      <c r="AO113" s="1690">
        <f>'вспом. план'!AN113</f>
        <v>12597.71065796605</v>
      </c>
      <c r="AP113" s="1183">
        <f t="shared" si="56"/>
        <v>-3589.2177879660521</v>
      </c>
    </row>
    <row r="114" spans="1:42" s="1037" customFormat="1" ht="10.5" thickBot="1">
      <c r="A114" s="1090" t="s">
        <v>402</v>
      </c>
      <c r="B114" s="1063"/>
      <c r="C114" s="1067"/>
      <c r="D114" s="1063"/>
      <c r="E114" s="1063"/>
      <c r="F114" s="1063"/>
      <c r="G114" s="1063"/>
      <c r="H114" s="1082">
        <f t="shared" si="105"/>
        <v>0</v>
      </c>
      <c r="I114" s="1063"/>
      <c r="J114" s="2200">
        <v>35.115000000000002</v>
      </c>
      <c r="K114" s="1652"/>
      <c r="L114" s="1064"/>
      <c r="M114" s="1091">
        <f t="shared" ref="M114:M115" si="113">SUM(J114:L114)</f>
        <v>35.115000000000002</v>
      </c>
      <c r="N114" s="2200">
        <v>500.02868999999998</v>
      </c>
      <c r="O114" s="1065"/>
      <c r="P114" s="1067"/>
      <c r="Q114" s="1063">
        <f t="shared" si="107"/>
        <v>500.02868999999998</v>
      </c>
      <c r="R114" s="2219">
        <v>44.108139999999999</v>
      </c>
      <c r="S114" s="1065"/>
      <c r="T114" s="1064"/>
      <c r="U114" s="1063">
        <f t="shared" si="108"/>
        <v>44.108139999999999</v>
      </c>
      <c r="V114" s="2219">
        <v>250.25684999999999</v>
      </c>
      <c r="W114" s="1065"/>
      <c r="X114" s="1064"/>
      <c r="Y114" s="1063">
        <f t="shared" si="109"/>
        <v>250.25684999999999</v>
      </c>
      <c r="Z114" s="2200">
        <v>31.255700000000001</v>
      </c>
      <c r="AA114" s="2192">
        <v>3.26126</v>
      </c>
      <c r="AB114" s="1064"/>
      <c r="AC114" s="1063">
        <f t="shared" si="110"/>
        <v>864.02564000000007</v>
      </c>
      <c r="AD114" s="1064"/>
      <c r="AE114" s="1065"/>
      <c r="AF114" s="1067"/>
      <c r="AG114" s="1063">
        <f t="shared" si="111"/>
        <v>0</v>
      </c>
      <c r="AH114" s="992"/>
      <c r="AI114" s="993"/>
      <c r="AJ114" s="994"/>
      <c r="AK114" s="1067"/>
      <c r="AL114" s="1082"/>
      <c r="AM114" s="1063"/>
      <c r="AN114" s="1067">
        <f t="shared" si="112"/>
        <v>864.02564000000007</v>
      </c>
      <c r="AO114" s="1690">
        <f>'вспом. план'!AN114</f>
        <v>640.06545714004062</v>
      </c>
      <c r="AP114" s="1183">
        <f t="shared" si="56"/>
        <v>223.96018285995945</v>
      </c>
    </row>
    <row r="115" spans="1:42" s="1037" customFormat="1" ht="10.5" thickBot="1">
      <c r="A115" s="1090" t="s">
        <v>403</v>
      </c>
      <c r="B115" s="2192">
        <v>502.40105999999997</v>
      </c>
      <c r="C115" s="1067"/>
      <c r="D115" s="1063"/>
      <c r="E115" s="1063"/>
      <c r="F115" s="1063"/>
      <c r="G115" s="1063"/>
      <c r="H115" s="1082">
        <f t="shared" si="105"/>
        <v>0</v>
      </c>
      <c r="I115" s="2192">
        <v>152.55124000000001</v>
      </c>
      <c r="J115" s="2200">
        <v>3348.7170099999998</v>
      </c>
      <c r="K115" s="1652"/>
      <c r="L115" s="2200">
        <v>6.8083200000000001</v>
      </c>
      <c r="M115" s="1091">
        <f t="shared" si="113"/>
        <v>3355.5253299999999</v>
      </c>
      <c r="N115" s="2200">
        <v>165.4742</v>
      </c>
      <c r="O115" s="1065"/>
      <c r="P115" s="1067"/>
      <c r="Q115" s="1063">
        <f t="shared" si="107"/>
        <v>165.4742</v>
      </c>
      <c r="R115" s="2219">
        <v>6.5880000000000001</v>
      </c>
      <c r="S115" s="1065"/>
      <c r="T115" s="1064"/>
      <c r="U115" s="1063">
        <f t="shared" si="108"/>
        <v>6.5880000000000001</v>
      </c>
      <c r="V115" s="2219">
        <v>253.35905</v>
      </c>
      <c r="W115" s="1065"/>
      <c r="X115" s="1064"/>
      <c r="Y115" s="1063">
        <f t="shared" si="109"/>
        <v>253.35905</v>
      </c>
      <c r="Z115" s="2200">
        <v>5.2855999999999996</v>
      </c>
      <c r="AA115" s="1063"/>
      <c r="AB115" s="1064"/>
      <c r="AC115" s="1063">
        <f t="shared" si="110"/>
        <v>4441.1844799999999</v>
      </c>
      <c r="AD115" s="1064"/>
      <c r="AE115" s="1065"/>
      <c r="AF115" s="1067"/>
      <c r="AG115" s="1063">
        <f t="shared" si="111"/>
        <v>0</v>
      </c>
      <c r="AH115" s="992"/>
      <c r="AI115" s="993"/>
      <c r="AJ115" s="994"/>
      <c r="AK115" s="1067"/>
      <c r="AL115" s="1082"/>
      <c r="AM115" s="1063"/>
      <c r="AN115" s="1067">
        <f t="shared" si="112"/>
        <v>4441.1844799999999</v>
      </c>
      <c r="AO115" s="1690">
        <f>'вспом. план'!AN115</f>
        <v>5142.9484107388289</v>
      </c>
      <c r="AP115" s="1183">
        <f t="shared" si="56"/>
        <v>-701.763930738829</v>
      </c>
    </row>
    <row r="116" spans="1:42" s="1037" customFormat="1" ht="10.5" thickBot="1">
      <c r="A116" s="1090" t="s">
        <v>404</v>
      </c>
      <c r="B116" s="1063">
        <f>SUM(B117:B126)</f>
        <v>0</v>
      </c>
      <c r="C116" s="1067"/>
      <c r="D116" s="1063"/>
      <c r="E116" s="1063"/>
      <c r="F116" s="1063"/>
      <c r="G116" s="1063"/>
      <c r="H116" s="1082">
        <f t="shared" ref="H116" si="114">SUM(C116:G116)</f>
        <v>0</v>
      </c>
      <c r="I116" s="1063">
        <f>SUM(I117:I126)</f>
        <v>1651.49793</v>
      </c>
      <c r="J116" s="1064">
        <f t="shared" ref="J116:L116" si="115">SUM(J117:J126)</f>
        <v>15140.753630000001</v>
      </c>
      <c r="K116" s="1652">
        <f t="shared" si="115"/>
        <v>3.3039299999999998</v>
      </c>
      <c r="L116" s="1064">
        <f t="shared" si="115"/>
        <v>124.93869000000001</v>
      </c>
      <c r="M116" s="1091">
        <f>SUM(J116:L116)</f>
        <v>15268.996250000002</v>
      </c>
      <c r="N116" s="1064">
        <f t="shared" ref="N116:P116" si="116">SUM(N117:N126)</f>
        <v>0</v>
      </c>
      <c r="O116" s="1065">
        <f t="shared" si="116"/>
        <v>0</v>
      </c>
      <c r="P116" s="1067">
        <f t="shared" si="116"/>
        <v>0</v>
      </c>
      <c r="Q116" s="1063">
        <f t="shared" ref="Q116" si="117">SUM(N116:P116)</f>
        <v>0</v>
      </c>
      <c r="R116" s="1082">
        <f t="shared" ref="R116:T116" si="118">SUM(R117:R126)</f>
        <v>22.583860000000001</v>
      </c>
      <c r="S116" s="1065">
        <f t="shared" si="118"/>
        <v>0</v>
      </c>
      <c r="T116" s="1064">
        <f t="shared" si="118"/>
        <v>0</v>
      </c>
      <c r="U116" s="1063">
        <f t="shared" ref="U116" si="119">SUM(R116:T116)</f>
        <v>22.583860000000001</v>
      </c>
      <c r="V116" s="1082">
        <f t="shared" ref="V116:X116" si="120">SUM(V117:V126)</f>
        <v>42.665999999999997</v>
      </c>
      <c r="W116" s="1065">
        <f t="shared" si="120"/>
        <v>0</v>
      </c>
      <c r="X116" s="1064">
        <f t="shared" si="120"/>
        <v>0</v>
      </c>
      <c r="Y116" s="1063">
        <f t="shared" si="109"/>
        <v>42.665999999999997</v>
      </c>
      <c r="Z116" s="1064">
        <f t="shared" ref="Z116:AB116" si="121">SUM(Z117:Z126)</f>
        <v>0</v>
      </c>
      <c r="AA116" s="1063">
        <f t="shared" si="121"/>
        <v>0</v>
      </c>
      <c r="AB116" s="1064">
        <f t="shared" si="121"/>
        <v>646.08000000000004</v>
      </c>
      <c r="AC116" s="1063">
        <f t="shared" si="110"/>
        <v>17631.824040000003</v>
      </c>
      <c r="AD116" s="1064">
        <f t="shared" ref="AD116:AF116" si="122">SUM(AD117:AD126)</f>
        <v>0</v>
      </c>
      <c r="AE116" s="1065">
        <f t="shared" si="122"/>
        <v>0</v>
      </c>
      <c r="AF116" s="1067">
        <f t="shared" si="122"/>
        <v>0</v>
      </c>
      <c r="AG116" s="1063">
        <f t="shared" si="111"/>
        <v>0</v>
      </c>
      <c r="AH116" s="992"/>
      <c r="AI116" s="993"/>
      <c r="AJ116" s="994"/>
      <c r="AK116" s="1063">
        <f t="shared" ref="AK116:AL116" si="123">SUM(AK117:AK126)</f>
        <v>142.92162999999999</v>
      </c>
      <c r="AL116" s="1064">
        <f t="shared" si="123"/>
        <v>4347.5068499999998</v>
      </c>
      <c r="AM116" s="1063">
        <f>'[1]затраты вспом.'!AM112</f>
        <v>0</v>
      </c>
      <c r="AN116" s="1067">
        <f>AC116+AG116+AK116+AL116+AM116</f>
        <v>22122.252520000002</v>
      </c>
      <c r="AO116" s="1690">
        <f>'вспом. план'!AN116</f>
        <v>10305.133175742798</v>
      </c>
      <c r="AP116" s="1183">
        <f t="shared" si="56"/>
        <v>11817.119344257204</v>
      </c>
    </row>
    <row r="117" spans="1:42" s="1037" customFormat="1">
      <c r="A117" s="1076" t="s">
        <v>552</v>
      </c>
      <c r="B117" s="991"/>
      <c r="C117" s="1043"/>
      <c r="D117" s="1069"/>
      <c r="E117" s="1069"/>
      <c r="F117" s="1069"/>
      <c r="G117" s="1070"/>
      <c r="H117" s="1647"/>
      <c r="I117" s="2195">
        <v>16</v>
      </c>
      <c r="J117" s="2199">
        <v>10.923360000000001</v>
      </c>
      <c r="K117" s="1069"/>
      <c r="L117" s="1793"/>
      <c r="M117" s="1034">
        <f t="shared" ref="M117:M126" si="124">SUM(J117:L117)</f>
        <v>10.923360000000001</v>
      </c>
      <c r="N117" s="1043"/>
      <c r="O117" s="1069"/>
      <c r="P117" s="1070"/>
      <c r="Q117" s="1034">
        <f t="shared" ref="Q117:Q126" si="125">SUM(N117:P117)</f>
        <v>0</v>
      </c>
      <c r="R117" s="1044"/>
      <c r="S117" s="1069"/>
      <c r="T117" s="1044"/>
      <c r="U117" s="1034">
        <f t="shared" ref="U117:U126" si="126">SUM(R117:T117)</f>
        <v>0</v>
      </c>
      <c r="V117" s="1044"/>
      <c r="W117" s="1069"/>
      <c r="X117" s="1044"/>
      <c r="Y117" s="1034">
        <f t="shared" ref="Y117:Y126" si="127">SUM(V117:X117)</f>
        <v>0</v>
      </c>
      <c r="Z117" s="1044"/>
      <c r="AA117" s="991"/>
      <c r="AB117" s="1044"/>
      <c r="AC117" s="1034">
        <f t="shared" si="110"/>
        <v>26.923360000000002</v>
      </c>
      <c r="AD117" s="1044"/>
      <c r="AE117" s="1069"/>
      <c r="AF117" s="1044"/>
      <c r="AG117" s="1034">
        <f t="shared" si="111"/>
        <v>0</v>
      </c>
      <c r="AH117" s="1199"/>
      <c r="AI117" s="1199"/>
      <c r="AJ117" s="1199"/>
      <c r="AK117" s="1084"/>
      <c r="AL117" s="1084"/>
      <c r="AM117" s="1622"/>
      <c r="AN117" s="1622"/>
      <c r="AO117" s="1204"/>
    </row>
    <row r="118" spans="1:42" s="1037" customFormat="1">
      <c r="A118" s="1205" t="s">
        <v>553</v>
      </c>
      <c r="B118" s="981"/>
      <c r="C118" s="982"/>
      <c r="D118" s="985"/>
      <c r="E118" s="985"/>
      <c r="F118" s="985"/>
      <c r="G118" s="1038"/>
      <c r="H118" s="1648"/>
      <c r="I118" s="2186">
        <v>703.99599999999998</v>
      </c>
      <c r="J118" s="2188">
        <v>13136.36443</v>
      </c>
      <c r="K118" s="985"/>
      <c r="L118" s="2188">
        <v>102.70386000000001</v>
      </c>
      <c r="M118" s="1196">
        <f t="shared" si="124"/>
        <v>13239.068289999999</v>
      </c>
      <c r="N118" s="982"/>
      <c r="O118" s="985"/>
      <c r="P118" s="1038"/>
      <c r="Q118" s="1196">
        <f t="shared" si="125"/>
        <v>0</v>
      </c>
      <c r="R118" s="2188">
        <v>9.23536</v>
      </c>
      <c r="S118" s="985"/>
      <c r="T118" s="983"/>
      <c r="U118" s="1196">
        <f t="shared" si="126"/>
        <v>9.23536</v>
      </c>
      <c r="V118" s="2188">
        <v>42.665999999999997</v>
      </c>
      <c r="W118" s="985"/>
      <c r="X118" s="983"/>
      <c r="Y118" s="1196">
        <f t="shared" si="127"/>
        <v>42.665999999999997</v>
      </c>
      <c r="Z118" s="983"/>
      <c r="AA118" s="981"/>
      <c r="AB118" s="983"/>
      <c r="AC118" s="1196">
        <f t="shared" si="110"/>
        <v>13994.965649999998</v>
      </c>
      <c r="AD118" s="983"/>
      <c r="AE118" s="985"/>
      <c r="AF118" s="983"/>
      <c r="AG118" s="1196">
        <f t="shared" si="111"/>
        <v>0</v>
      </c>
      <c r="AH118" s="1199"/>
      <c r="AI118" s="1199"/>
      <c r="AJ118" s="1199"/>
      <c r="AK118" s="981"/>
      <c r="AL118" s="981"/>
      <c r="AM118" s="1623"/>
      <c r="AN118" s="1623"/>
      <c r="AO118" s="1206"/>
    </row>
    <row r="119" spans="1:42" s="1037" customFormat="1">
      <c r="A119" s="1205" t="s">
        <v>554</v>
      </c>
      <c r="B119" s="981"/>
      <c r="C119" s="982"/>
      <c r="D119" s="985"/>
      <c r="E119" s="985"/>
      <c r="F119" s="985"/>
      <c r="G119" s="1038"/>
      <c r="H119" s="1648"/>
      <c r="I119" s="1799"/>
      <c r="J119" s="2188">
        <v>343.12221</v>
      </c>
      <c r="K119" s="985"/>
      <c r="L119" s="983"/>
      <c r="M119" s="1196">
        <f t="shared" si="124"/>
        <v>343.12221</v>
      </c>
      <c r="N119" s="982"/>
      <c r="O119" s="985"/>
      <c r="P119" s="1038"/>
      <c r="Q119" s="1196">
        <f t="shared" si="125"/>
        <v>0</v>
      </c>
      <c r="R119" s="983"/>
      <c r="S119" s="985"/>
      <c r="T119" s="983"/>
      <c r="U119" s="1196">
        <f t="shared" si="126"/>
        <v>0</v>
      </c>
      <c r="V119" s="983"/>
      <c r="W119" s="985"/>
      <c r="X119" s="983"/>
      <c r="Y119" s="1196">
        <f t="shared" si="127"/>
        <v>0</v>
      </c>
      <c r="Z119" s="983"/>
      <c r="AA119" s="981"/>
      <c r="AB119" s="983"/>
      <c r="AC119" s="1196">
        <f t="shared" si="110"/>
        <v>343.12221</v>
      </c>
      <c r="AD119" s="983"/>
      <c r="AE119" s="985"/>
      <c r="AF119" s="983"/>
      <c r="AG119" s="1196">
        <f t="shared" si="111"/>
        <v>0</v>
      </c>
      <c r="AH119" s="1199"/>
      <c r="AI119" s="1199"/>
      <c r="AJ119" s="1199"/>
      <c r="AK119" s="981"/>
      <c r="AL119" s="981"/>
      <c r="AM119" s="1623"/>
      <c r="AN119" s="1623"/>
      <c r="AO119" s="1206"/>
    </row>
    <row r="120" spans="1:42" s="1037" customFormat="1">
      <c r="A120" s="1205" t="s">
        <v>555</v>
      </c>
      <c r="B120" s="981"/>
      <c r="C120" s="982"/>
      <c r="D120" s="985"/>
      <c r="E120" s="985"/>
      <c r="F120" s="985"/>
      <c r="G120" s="1038"/>
      <c r="H120" s="1648"/>
      <c r="I120" s="1799"/>
      <c r="J120" s="983"/>
      <c r="K120" s="985"/>
      <c r="L120" s="983"/>
      <c r="M120" s="1196">
        <f t="shared" si="124"/>
        <v>0</v>
      </c>
      <c r="N120" s="982"/>
      <c r="O120" s="985"/>
      <c r="P120" s="1038"/>
      <c r="Q120" s="1196">
        <f t="shared" si="125"/>
        <v>0</v>
      </c>
      <c r="R120" s="983"/>
      <c r="S120" s="985"/>
      <c r="T120" s="983"/>
      <c r="U120" s="1196">
        <f t="shared" si="126"/>
        <v>0</v>
      </c>
      <c r="V120" s="983"/>
      <c r="W120" s="985"/>
      <c r="X120" s="983"/>
      <c r="Y120" s="1196">
        <f t="shared" si="127"/>
        <v>0</v>
      </c>
      <c r="Z120" s="983"/>
      <c r="AA120" s="981"/>
      <c r="AB120" s="2105">
        <v>646.08000000000004</v>
      </c>
      <c r="AC120" s="1196">
        <f t="shared" si="110"/>
        <v>646.08000000000004</v>
      </c>
      <c r="AD120" s="983"/>
      <c r="AE120" s="985"/>
      <c r="AF120" s="983"/>
      <c r="AG120" s="1196">
        <f t="shared" si="111"/>
        <v>0</v>
      </c>
      <c r="AH120" s="1199"/>
      <c r="AI120" s="1199"/>
      <c r="AJ120" s="1199"/>
      <c r="AK120" s="981"/>
      <c r="AL120" s="2186">
        <v>2734.6298900000002</v>
      </c>
      <c r="AM120" s="1623"/>
      <c r="AN120" s="1623"/>
      <c r="AO120" s="1206"/>
    </row>
    <row r="121" spans="1:42" s="1037" customFormat="1">
      <c r="A121" s="1205" t="s">
        <v>556</v>
      </c>
      <c r="B121" s="981"/>
      <c r="C121" s="982"/>
      <c r="D121" s="985"/>
      <c r="E121" s="985"/>
      <c r="F121" s="985"/>
      <c r="G121" s="1038"/>
      <c r="H121" s="1648"/>
      <c r="I121" s="2107"/>
      <c r="J121" s="983"/>
      <c r="K121" s="985"/>
      <c r="L121" s="983"/>
      <c r="M121" s="1196">
        <f t="shared" si="124"/>
        <v>0</v>
      </c>
      <c r="N121" s="982"/>
      <c r="O121" s="985"/>
      <c r="P121" s="1038"/>
      <c r="Q121" s="1196">
        <f t="shared" si="125"/>
        <v>0</v>
      </c>
      <c r="R121" s="983"/>
      <c r="S121" s="985"/>
      <c r="T121" s="983"/>
      <c r="U121" s="1196">
        <f t="shared" si="126"/>
        <v>0</v>
      </c>
      <c r="V121" s="983"/>
      <c r="W121" s="985"/>
      <c r="X121" s="983"/>
      <c r="Y121" s="1196">
        <f t="shared" si="127"/>
        <v>0</v>
      </c>
      <c r="Z121" s="983"/>
      <c r="AA121" s="981"/>
      <c r="AB121" s="983"/>
      <c r="AC121" s="1196">
        <f t="shared" si="110"/>
        <v>0</v>
      </c>
      <c r="AD121" s="983"/>
      <c r="AE121" s="985"/>
      <c r="AF121" s="983"/>
      <c r="AG121" s="1196">
        <f t="shared" si="111"/>
        <v>0</v>
      </c>
      <c r="AH121" s="1199"/>
      <c r="AI121" s="1199"/>
      <c r="AJ121" s="1199"/>
      <c r="AK121" s="981"/>
      <c r="AL121" s="981"/>
      <c r="AM121" s="1623"/>
      <c r="AN121" s="1623"/>
      <c r="AO121" s="1206"/>
    </row>
    <row r="122" spans="1:42" s="1037" customFormat="1">
      <c r="A122" s="1205" t="s">
        <v>557</v>
      </c>
      <c r="B122" s="981"/>
      <c r="C122" s="982"/>
      <c r="D122" s="985"/>
      <c r="E122" s="985"/>
      <c r="F122" s="985"/>
      <c r="G122" s="1038"/>
      <c r="H122" s="1648"/>
      <c r="I122" s="1799"/>
      <c r="J122" s="983"/>
      <c r="K122" s="985"/>
      <c r="L122" s="983"/>
      <c r="M122" s="1196">
        <f t="shared" si="124"/>
        <v>0</v>
      </c>
      <c r="N122" s="982"/>
      <c r="O122" s="985"/>
      <c r="P122" s="1038"/>
      <c r="Q122" s="1196">
        <f t="shared" si="125"/>
        <v>0</v>
      </c>
      <c r="R122" s="2188">
        <v>13.3485</v>
      </c>
      <c r="S122" s="985"/>
      <c r="T122" s="983"/>
      <c r="U122" s="1196">
        <f t="shared" si="126"/>
        <v>13.3485</v>
      </c>
      <c r="V122" s="983"/>
      <c r="W122" s="985"/>
      <c r="X122" s="983"/>
      <c r="Y122" s="1196">
        <f t="shared" si="127"/>
        <v>0</v>
      </c>
      <c r="Z122" s="983"/>
      <c r="AA122" s="981"/>
      <c r="AB122" s="983"/>
      <c r="AC122" s="1196">
        <f t="shared" si="110"/>
        <v>13.3485</v>
      </c>
      <c r="AD122" s="983"/>
      <c r="AE122" s="985"/>
      <c r="AF122" s="983"/>
      <c r="AG122" s="1196">
        <f t="shared" si="111"/>
        <v>0</v>
      </c>
      <c r="AH122" s="1199"/>
      <c r="AI122" s="1199"/>
      <c r="AJ122" s="1199"/>
      <c r="AK122" s="981"/>
      <c r="AL122" s="981"/>
      <c r="AM122" s="1623"/>
      <c r="AN122" s="1623"/>
      <c r="AO122" s="1206"/>
    </row>
    <row r="123" spans="1:42" s="1037" customFormat="1">
      <c r="A123" s="1205" t="s">
        <v>570</v>
      </c>
      <c r="B123" s="981"/>
      <c r="C123" s="982"/>
      <c r="D123" s="985"/>
      <c r="E123" s="985"/>
      <c r="F123" s="985"/>
      <c r="G123" s="1038"/>
      <c r="H123" s="1648"/>
      <c r="I123" s="2186">
        <v>231.44884999999999</v>
      </c>
      <c r="J123" s="2188">
        <v>1154.76566</v>
      </c>
      <c r="K123" s="985"/>
      <c r="L123" s="983"/>
      <c r="M123" s="1196">
        <f t="shared" si="124"/>
        <v>1154.76566</v>
      </c>
      <c r="N123" s="982"/>
      <c r="O123" s="985"/>
      <c r="P123" s="1038"/>
      <c r="Q123" s="1196">
        <f t="shared" si="125"/>
        <v>0</v>
      </c>
      <c r="R123" s="983"/>
      <c r="S123" s="985"/>
      <c r="T123" s="983"/>
      <c r="U123" s="1196">
        <f t="shared" si="126"/>
        <v>0</v>
      </c>
      <c r="V123" s="983"/>
      <c r="W123" s="985"/>
      <c r="X123" s="983"/>
      <c r="Y123" s="1196">
        <f t="shared" si="127"/>
        <v>0</v>
      </c>
      <c r="Z123" s="983"/>
      <c r="AA123" s="981"/>
      <c r="AB123" s="983"/>
      <c r="AC123" s="1196">
        <f t="shared" si="110"/>
        <v>1386.21451</v>
      </c>
      <c r="AD123" s="983"/>
      <c r="AE123" s="985"/>
      <c r="AF123" s="983"/>
      <c r="AG123" s="1196"/>
      <c r="AH123" s="1199"/>
      <c r="AI123" s="1199"/>
      <c r="AJ123" s="1199"/>
      <c r="AK123" s="981"/>
      <c r="AL123" s="981"/>
      <c r="AM123" s="1623"/>
      <c r="AN123" s="1623"/>
      <c r="AO123" s="1206"/>
    </row>
    <row r="124" spans="1:42" s="1037" customFormat="1">
      <c r="A124" s="1205" t="s">
        <v>646</v>
      </c>
      <c r="B124" s="981"/>
      <c r="C124" s="982"/>
      <c r="D124" s="985"/>
      <c r="E124" s="985"/>
      <c r="F124" s="985"/>
      <c r="G124" s="1038"/>
      <c r="H124" s="1648"/>
      <c r="I124" s="1799"/>
      <c r="J124" s="983"/>
      <c r="K124" s="2205">
        <v>3.00393</v>
      </c>
      <c r="L124" s="983"/>
      <c r="M124" s="1196">
        <f t="shared" si="124"/>
        <v>3.00393</v>
      </c>
      <c r="N124" s="982"/>
      <c r="O124" s="985"/>
      <c r="P124" s="1038"/>
      <c r="Q124" s="1196">
        <f t="shared" si="125"/>
        <v>0</v>
      </c>
      <c r="R124" s="983"/>
      <c r="S124" s="985"/>
      <c r="T124" s="983"/>
      <c r="U124" s="1196">
        <f t="shared" si="126"/>
        <v>0</v>
      </c>
      <c r="V124" s="983"/>
      <c r="W124" s="985"/>
      <c r="X124" s="983"/>
      <c r="Y124" s="1196">
        <f t="shared" si="127"/>
        <v>0</v>
      </c>
      <c r="Z124" s="983"/>
      <c r="AA124" s="981"/>
      <c r="AB124" s="983"/>
      <c r="AC124" s="1196">
        <f t="shared" si="110"/>
        <v>3.00393</v>
      </c>
      <c r="AD124" s="983"/>
      <c r="AE124" s="985"/>
      <c r="AF124" s="983"/>
      <c r="AG124" s="1196"/>
      <c r="AH124" s="1199"/>
      <c r="AI124" s="1199"/>
      <c r="AJ124" s="1199"/>
      <c r="AK124" s="981"/>
      <c r="AL124" s="981"/>
      <c r="AM124" s="1623"/>
      <c r="AN124" s="1623"/>
      <c r="AO124" s="1206"/>
    </row>
    <row r="125" spans="1:42" s="1037" customFormat="1">
      <c r="A125" s="1205" t="s">
        <v>558</v>
      </c>
      <c r="B125" s="981"/>
      <c r="C125" s="982"/>
      <c r="D125" s="985"/>
      <c r="E125" s="985"/>
      <c r="F125" s="985"/>
      <c r="G125" s="1038"/>
      <c r="H125" s="1648"/>
      <c r="I125" s="2186">
        <v>621.94799</v>
      </c>
      <c r="J125" s="2188">
        <v>49.842970000000001</v>
      </c>
      <c r="K125" s="2205">
        <v>0.3</v>
      </c>
      <c r="L125" s="2188">
        <v>12.80598</v>
      </c>
      <c r="M125" s="1196">
        <f t="shared" si="124"/>
        <v>62.948949999999996</v>
      </c>
      <c r="N125" s="982"/>
      <c r="O125" s="985"/>
      <c r="P125" s="1038"/>
      <c r="Q125" s="1196">
        <f t="shared" si="125"/>
        <v>0</v>
      </c>
      <c r="R125" s="983"/>
      <c r="S125" s="985"/>
      <c r="T125" s="983"/>
      <c r="U125" s="1196">
        <f t="shared" si="126"/>
        <v>0</v>
      </c>
      <c r="V125" s="983"/>
      <c r="W125" s="985"/>
      <c r="X125" s="983"/>
      <c r="Y125" s="1196">
        <f t="shared" si="127"/>
        <v>0</v>
      </c>
      <c r="Z125" s="983"/>
      <c r="AA125" s="981"/>
      <c r="AB125" s="983"/>
      <c r="AC125" s="1196">
        <f t="shared" si="110"/>
        <v>684.89693999999997</v>
      </c>
      <c r="AD125" s="983"/>
      <c r="AE125" s="985"/>
      <c r="AF125" s="983"/>
      <c r="AG125" s="1196">
        <f>SUM(AD125:AF125)</f>
        <v>0</v>
      </c>
      <c r="AH125" s="1199"/>
      <c r="AI125" s="1199"/>
      <c r="AJ125" s="1199"/>
      <c r="AK125" s="2186">
        <v>142.92162999999999</v>
      </c>
      <c r="AL125" s="2186">
        <v>1494.2353900000001</v>
      </c>
      <c r="AM125" s="1623"/>
      <c r="AN125" s="1623"/>
      <c r="AO125" s="1206"/>
    </row>
    <row r="126" spans="1:42" s="1037" customFormat="1" ht="10.5" thickBot="1">
      <c r="A126" s="1207" t="s">
        <v>559</v>
      </c>
      <c r="B126" s="1088"/>
      <c r="C126" s="1208"/>
      <c r="D126" s="1209"/>
      <c r="E126" s="1209"/>
      <c r="F126" s="1209"/>
      <c r="G126" s="1210"/>
      <c r="H126" s="1649"/>
      <c r="I126" s="2196">
        <v>78.105090000000004</v>
      </c>
      <c r="J126" s="2201">
        <v>445.73500000000001</v>
      </c>
      <c r="K126" s="1209"/>
      <c r="L126" s="2209">
        <v>9.4288500000000006</v>
      </c>
      <c r="M126" s="1211">
        <f t="shared" si="124"/>
        <v>455.16385000000002</v>
      </c>
      <c r="N126" s="1208"/>
      <c r="O126" s="1209"/>
      <c r="P126" s="1210"/>
      <c r="Q126" s="1211">
        <f t="shared" si="125"/>
        <v>0</v>
      </c>
      <c r="R126" s="1208"/>
      <c r="S126" s="1209"/>
      <c r="T126" s="1210"/>
      <c r="U126" s="1211">
        <f t="shared" si="126"/>
        <v>0</v>
      </c>
      <c r="V126" s="1208"/>
      <c r="W126" s="1209"/>
      <c r="X126" s="1210"/>
      <c r="Y126" s="1211">
        <f t="shared" si="127"/>
        <v>0</v>
      </c>
      <c r="Z126" s="1212"/>
      <c r="AA126" s="1088"/>
      <c r="AB126" s="1212"/>
      <c r="AC126" s="1091">
        <f t="shared" si="110"/>
        <v>533.26894000000004</v>
      </c>
      <c r="AD126" s="1212"/>
      <c r="AE126" s="1209"/>
      <c r="AF126" s="1212"/>
      <c r="AG126" s="1034">
        <f>SUM(AD126:AF126)</f>
        <v>0</v>
      </c>
      <c r="AH126" s="1199"/>
      <c r="AI126" s="1199"/>
      <c r="AJ126" s="1199"/>
      <c r="AK126" s="1088"/>
      <c r="AL126" s="2196">
        <v>118.64157</v>
      </c>
      <c r="AM126" s="1624"/>
      <c r="AN126" s="1624"/>
      <c r="AO126" s="1213"/>
    </row>
    <row r="127" spans="1:42" s="226" customFormat="1">
      <c r="A127" s="2060"/>
      <c r="B127" s="2061"/>
      <c r="C127" s="2061"/>
      <c r="D127" s="2061"/>
      <c r="E127" s="2061"/>
      <c r="F127" s="2061"/>
      <c r="G127" s="2061"/>
      <c r="H127" s="2062"/>
      <c r="I127" s="2061"/>
      <c r="J127" s="2061"/>
      <c r="K127" s="2061"/>
      <c r="L127" s="2061"/>
      <c r="M127" s="2061"/>
      <c r="N127" s="2061"/>
      <c r="O127" s="2061"/>
      <c r="P127" s="2061"/>
      <c r="Q127" s="2061"/>
      <c r="R127" s="2061"/>
      <c r="S127" s="2061"/>
      <c r="T127" s="2061"/>
      <c r="U127" s="2061"/>
      <c r="V127" s="2061"/>
      <c r="W127" s="2061"/>
      <c r="X127" s="2061"/>
      <c r="Y127" s="2061"/>
      <c r="Z127" s="2061"/>
      <c r="AA127" s="2061"/>
      <c r="AB127" s="2061"/>
      <c r="AC127" s="2061"/>
      <c r="AD127" s="2061"/>
      <c r="AE127" s="2061"/>
      <c r="AF127" s="2061"/>
      <c r="AG127" s="2061"/>
      <c r="AH127" s="2061"/>
      <c r="AI127" s="2061"/>
      <c r="AJ127" s="2061"/>
      <c r="AK127" s="2061"/>
      <c r="AL127" s="2061"/>
      <c r="AM127" s="2061"/>
      <c r="AN127" s="2061"/>
      <c r="AO127" s="1037"/>
      <c r="AP127" s="1037"/>
    </row>
    <row r="128" spans="1:42" s="226" customFormat="1">
      <c r="A128" s="2060"/>
      <c r="B128" s="2061"/>
      <c r="C128" s="2061"/>
      <c r="D128" s="2061"/>
      <c r="E128" s="2061"/>
      <c r="F128" s="2061"/>
      <c r="G128" s="2061"/>
      <c r="H128" s="2062"/>
      <c r="I128" s="2061"/>
      <c r="J128" s="2061"/>
      <c r="K128" s="2061"/>
      <c r="L128" s="2061"/>
      <c r="M128" s="2061"/>
      <c r="N128" s="2061"/>
      <c r="O128" s="2061"/>
      <c r="P128" s="2061"/>
      <c r="Q128" s="2061"/>
      <c r="R128" s="2061"/>
      <c r="S128" s="2061"/>
      <c r="T128" s="2061"/>
      <c r="U128" s="2061"/>
      <c r="V128" s="2061"/>
      <c r="W128" s="2061"/>
      <c r="X128" s="2061"/>
      <c r="Y128" s="2061"/>
      <c r="Z128" s="2061"/>
      <c r="AA128" s="2061"/>
      <c r="AB128" s="2061"/>
      <c r="AC128" s="2061"/>
      <c r="AD128" s="2061"/>
      <c r="AE128" s="2061"/>
      <c r="AF128" s="2061"/>
      <c r="AG128" s="2061"/>
      <c r="AH128" s="2061"/>
      <c r="AI128" s="2061"/>
      <c r="AJ128" s="2061"/>
      <c r="AK128" s="2061"/>
      <c r="AL128" s="2061"/>
      <c r="AM128" s="2061"/>
      <c r="AN128" s="2061"/>
      <c r="AO128" s="1037"/>
      <c r="AP128" s="1037"/>
    </row>
    <row r="129" spans="1:42" s="226" customFormat="1">
      <c r="A129" s="2060"/>
      <c r="B129" s="2061"/>
      <c r="C129" s="2061"/>
      <c r="D129" s="2061"/>
      <c r="E129" s="2061"/>
      <c r="F129" s="2061"/>
      <c r="G129" s="2061"/>
      <c r="H129" s="2062"/>
      <c r="I129" s="2061"/>
      <c r="J129" s="2061"/>
      <c r="K129" s="2061"/>
      <c r="L129" s="2061"/>
      <c r="M129" s="2061"/>
      <c r="N129" s="2061"/>
      <c r="O129" s="2061"/>
      <c r="P129" s="2061"/>
      <c r="Q129" s="2061"/>
      <c r="R129" s="2061"/>
      <c r="S129" s="2061"/>
      <c r="T129" s="2061"/>
      <c r="U129" s="2061"/>
      <c r="V129" s="2061"/>
      <c r="W129" s="2061"/>
      <c r="X129" s="2061"/>
      <c r="Y129" s="2061"/>
      <c r="Z129" s="2061"/>
      <c r="AA129" s="2061"/>
      <c r="AB129" s="2061"/>
      <c r="AC129" s="2061"/>
      <c r="AD129" s="2061"/>
      <c r="AE129" s="2061"/>
      <c r="AF129" s="2061"/>
      <c r="AG129" s="2061"/>
      <c r="AH129" s="2061"/>
      <c r="AI129" s="2061"/>
      <c r="AJ129" s="2061"/>
      <c r="AK129" s="2061"/>
      <c r="AL129" s="2061"/>
      <c r="AM129" s="2061"/>
      <c r="AN129" s="2061"/>
      <c r="AO129" s="1037"/>
      <c r="AP129" s="1037"/>
    </row>
    <row r="130" spans="1:42" s="226" customFormat="1">
      <c r="A130" s="2060"/>
      <c r="B130" s="2061"/>
      <c r="C130" s="2061"/>
      <c r="D130" s="2061"/>
      <c r="E130" s="2061"/>
      <c r="F130" s="2061"/>
      <c r="G130" s="2061"/>
      <c r="H130" s="2062"/>
      <c r="I130" s="2061"/>
      <c r="J130" s="2061"/>
      <c r="K130" s="2061"/>
      <c r="L130" s="2061"/>
      <c r="M130" s="2061"/>
      <c r="N130" s="2061"/>
      <c r="O130" s="2061"/>
      <c r="P130" s="2061"/>
      <c r="Q130" s="2061"/>
      <c r="R130" s="2061"/>
      <c r="S130" s="2061"/>
      <c r="T130" s="2061"/>
      <c r="U130" s="2061"/>
      <c r="V130" s="2061"/>
      <c r="W130" s="2061"/>
      <c r="X130" s="2061"/>
      <c r="Y130" s="2061"/>
      <c r="Z130" s="2061"/>
      <c r="AA130" s="2061"/>
      <c r="AB130" s="2061"/>
      <c r="AC130" s="2061"/>
      <c r="AD130" s="2061"/>
      <c r="AE130" s="2061"/>
      <c r="AF130" s="2061"/>
      <c r="AG130" s="2061"/>
      <c r="AH130" s="2061"/>
      <c r="AI130" s="2061"/>
      <c r="AJ130" s="2061"/>
      <c r="AK130" s="2061"/>
      <c r="AL130" s="2061"/>
      <c r="AM130" s="2061"/>
      <c r="AN130" s="2061"/>
      <c r="AO130" s="1037"/>
      <c r="AP130" s="1037"/>
    </row>
    <row r="131" spans="1:42" s="226" customFormat="1">
      <c r="A131" s="2060"/>
      <c r="B131" s="2061"/>
      <c r="C131" s="2061"/>
      <c r="D131" s="2061"/>
      <c r="E131" s="2061"/>
      <c r="F131" s="2061"/>
      <c r="G131" s="2061"/>
      <c r="H131" s="2062"/>
      <c r="I131" s="2061"/>
      <c r="J131" s="2061"/>
      <c r="K131" s="2061"/>
      <c r="L131" s="2061"/>
      <c r="M131" s="2061"/>
      <c r="N131" s="2061"/>
      <c r="O131" s="2061"/>
      <c r="P131" s="2061"/>
      <c r="Q131" s="2061"/>
      <c r="R131" s="2061"/>
      <c r="S131" s="2061"/>
      <c r="T131" s="2061"/>
      <c r="U131" s="2061"/>
      <c r="V131" s="2061"/>
      <c r="W131" s="2061"/>
      <c r="X131" s="2061"/>
      <c r="Y131" s="2061"/>
      <c r="Z131" s="2061"/>
      <c r="AA131" s="2061"/>
      <c r="AB131" s="2061"/>
      <c r="AC131" s="2061"/>
      <c r="AD131" s="2061"/>
      <c r="AE131" s="2061"/>
      <c r="AF131" s="2061"/>
      <c r="AG131" s="2061"/>
      <c r="AH131" s="2061"/>
      <c r="AI131" s="2061"/>
      <c r="AJ131" s="2061"/>
      <c r="AK131" s="2061"/>
      <c r="AL131" s="2061"/>
      <c r="AM131" s="2061"/>
      <c r="AN131" s="2061"/>
      <c r="AO131" s="1037"/>
      <c r="AP131" s="1037"/>
    </row>
    <row r="132" spans="1:42" s="226" customFormat="1">
      <c r="A132" s="2060"/>
      <c r="B132" s="2061"/>
      <c r="C132" s="2061"/>
      <c r="D132" s="2061"/>
      <c r="E132" s="2061"/>
      <c r="F132" s="2061"/>
      <c r="G132" s="2061"/>
      <c r="H132" s="2062"/>
      <c r="I132" s="2061"/>
      <c r="J132" s="2061"/>
      <c r="K132" s="2061"/>
      <c r="L132" s="2061"/>
      <c r="M132" s="2061"/>
      <c r="N132" s="2061"/>
      <c r="O132" s="2061"/>
      <c r="P132" s="2061"/>
      <c r="Q132" s="2061"/>
      <c r="R132" s="2061"/>
      <c r="S132" s="2061"/>
      <c r="T132" s="2061"/>
      <c r="U132" s="2061"/>
      <c r="V132" s="2061"/>
      <c r="W132" s="2061"/>
      <c r="X132" s="2061"/>
      <c r="Y132" s="2061"/>
      <c r="Z132" s="2061"/>
      <c r="AA132" s="2061"/>
      <c r="AB132" s="2061"/>
      <c r="AC132" s="2061"/>
      <c r="AD132" s="2061"/>
      <c r="AE132" s="2061"/>
      <c r="AF132" s="2061"/>
      <c r="AG132" s="2061"/>
      <c r="AH132" s="2061"/>
      <c r="AI132" s="2061"/>
      <c r="AJ132" s="2061"/>
      <c r="AK132" s="2061"/>
      <c r="AL132" s="2061"/>
      <c r="AM132" s="2061"/>
      <c r="AN132" s="2061"/>
      <c r="AO132" s="1037"/>
      <c r="AP132" s="1037"/>
    </row>
    <row r="133" spans="1:42" s="226" customFormat="1">
      <c r="A133" s="2060"/>
      <c r="B133" s="2061"/>
      <c r="C133" s="2061"/>
      <c r="D133" s="2061"/>
      <c r="E133" s="2061"/>
      <c r="F133" s="2061"/>
      <c r="G133" s="2061"/>
      <c r="H133" s="2062"/>
      <c r="I133" s="2061"/>
      <c r="J133" s="2061"/>
      <c r="K133" s="2061"/>
      <c r="L133" s="2061"/>
      <c r="M133" s="2061"/>
      <c r="N133" s="2061"/>
      <c r="O133" s="2061"/>
      <c r="P133" s="2061"/>
      <c r="Q133" s="2061"/>
      <c r="R133" s="2061"/>
      <c r="S133" s="2061"/>
      <c r="T133" s="2061"/>
      <c r="U133" s="2061"/>
      <c r="V133" s="2061"/>
      <c r="W133" s="2061"/>
      <c r="X133" s="2061"/>
      <c r="Y133" s="2061"/>
      <c r="Z133" s="2061"/>
      <c r="AA133" s="2061"/>
      <c r="AB133" s="2061"/>
      <c r="AC133" s="2061"/>
      <c r="AD133" s="2061"/>
      <c r="AE133" s="2061"/>
      <c r="AF133" s="2061"/>
      <c r="AG133" s="2061"/>
      <c r="AH133" s="2061"/>
      <c r="AI133" s="2061"/>
      <c r="AJ133" s="2061"/>
      <c r="AK133" s="2061"/>
      <c r="AL133" s="2061"/>
      <c r="AM133" s="2061"/>
      <c r="AN133" s="2061"/>
      <c r="AO133" s="1037"/>
      <c r="AP133" s="1037"/>
    </row>
    <row r="134" spans="1:42" s="226" customFormat="1">
      <c r="A134" s="2060"/>
      <c r="B134" s="2061"/>
      <c r="C134" s="2061"/>
      <c r="D134" s="2061"/>
      <c r="E134" s="2061"/>
      <c r="F134" s="2061"/>
      <c r="G134" s="2061"/>
      <c r="H134" s="2062"/>
      <c r="I134" s="2061"/>
      <c r="J134" s="2061"/>
      <c r="K134" s="2061"/>
      <c r="L134" s="2061"/>
      <c r="M134" s="2061"/>
      <c r="N134" s="2061"/>
      <c r="O134" s="2061"/>
      <c r="P134" s="2061"/>
      <c r="Q134" s="2061"/>
      <c r="R134" s="2061"/>
      <c r="S134" s="2061"/>
      <c r="T134" s="2061"/>
      <c r="U134" s="2061"/>
      <c r="V134" s="2061"/>
      <c r="W134" s="2061"/>
      <c r="X134" s="2061"/>
      <c r="Y134" s="2061"/>
      <c r="Z134" s="2061"/>
      <c r="AA134" s="2061"/>
      <c r="AB134" s="2061"/>
      <c r="AC134" s="2061"/>
      <c r="AD134" s="2061"/>
      <c r="AE134" s="2061"/>
      <c r="AF134" s="2061"/>
      <c r="AG134" s="2061"/>
      <c r="AH134" s="2061"/>
      <c r="AI134" s="2061"/>
      <c r="AJ134" s="2061"/>
      <c r="AK134" s="2061"/>
      <c r="AL134" s="2061"/>
      <c r="AM134" s="2061"/>
      <c r="AN134" s="2061"/>
      <c r="AO134" s="1037"/>
      <c r="AP134" s="1037"/>
    </row>
    <row r="135" spans="1:42" s="226" customFormat="1">
      <c r="A135" s="2060"/>
      <c r="B135" s="2061"/>
      <c r="C135" s="2061"/>
      <c r="D135" s="2061"/>
      <c r="E135" s="2061"/>
      <c r="F135" s="2061"/>
      <c r="G135" s="2061"/>
      <c r="H135" s="2062"/>
      <c r="I135" s="2061"/>
      <c r="J135" s="2061"/>
      <c r="K135" s="2061"/>
      <c r="L135" s="2061"/>
      <c r="M135" s="2061"/>
      <c r="N135" s="2061"/>
      <c r="O135" s="2061"/>
      <c r="P135" s="2061"/>
      <c r="Q135" s="2061"/>
      <c r="R135" s="2061"/>
      <c r="S135" s="2061"/>
      <c r="T135" s="2061"/>
      <c r="U135" s="2061"/>
      <c r="V135" s="2061"/>
      <c r="W135" s="2061"/>
      <c r="X135" s="2061"/>
      <c r="Y135" s="2061"/>
      <c r="Z135" s="2061"/>
      <c r="AA135" s="2061"/>
      <c r="AB135" s="2061"/>
      <c r="AC135" s="2061"/>
      <c r="AD135" s="2061"/>
      <c r="AE135" s="2061"/>
      <c r="AF135" s="2061"/>
      <c r="AG135" s="2061"/>
      <c r="AH135" s="2061"/>
      <c r="AI135" s="2061"/>
      <c r="AJ135" s="2061"/>
      <c r="AK135" s="2061"/>
      <c r="AL135" s="2061"/>
      <c r="AM135" s="2061"/>
      <c r="AN135" s="2061"/>
      <c r="AO135" s="1037"/>
      <c r="AP135" s="1037"/>
    </row>
    <row r="136" spans="1:42" s="226" customFormat="1">
      <c r="A136" s="2060"/>
      <c r="B136" s="2061"/>
      <c r="C136" s="2061"/>
      <c r="D136" s="2061"/>
      <c r="E136" s="2061"/>
      <c r="F136" s="2061"/>
      <c r="G136" s="2061"/>
      <c r="H136" s="2062"/>
      <c r="I136" s="2061"/>
      <c r="J136" s="2061"/>
      <c r="K136" s="2061"/>
      <c r="L136" s="2061"/>
      <c r="M136" s="2061"/>
      <c r="N136" s="2061"/>
      <c r="O136" s="2061"/>
      <c r="P136" s="2061"/>
      <c r="Q136" s="2061"/>
      <c r="R136" s="2061"/>
      <c r="S136" s="2061"/>
      <c r="T136" s="2061"/>
      <c r="U136" s="2061"/>
      <c r="V136" s="2061"/>
      <c r="W136" s="2061"/>
      <c r="X136" s="2061"/>
      <c r="Y136" s="2061"/>
      <c r="Z136" s="2061"/>
      <c r="AA136" s="2061"/>
      <c r="AB136" s="2061"/>
      <c r="AC136" s="2061"/>
      <c r="AD136" s="2061"/>
      <c r="AE136" s="2061"/>
      <c r="AF136" s="2061"/>
      <c r="AG136" s="2061"/>
      <c r="AH136" s="2061"/>
      <c r="AI136" s="2061"/>
      <c r="AJ136" s="2061"/>
      <c r="AK136" s="2061"/>
      <c r="AL136" s="2061"/>
      <c r="AM136" s="2061"/>
      <c r="AN136" s="2061"/>
      <c r="AO136" s="1037"/>
      <c r="AP136" s="1037"/>
    </row>
    <row r="137" spans="1:42" s="226" customFormat="1">
      <c r="A137" s="2060"/>
      <c r="B137" s="2061"/>
      <c r="C137" s="2061"/>
      <c r="D137" s="2061"/>
      <c r="E137" s="2061"/>
      <c r="F137" s="2061"/>
      <c r="G137" s="2061"/>
      <c r="H137" s="2062"/>
      <c r="I137" s="2061"/>
      <c r="J137" s="2061"/>
      <c r="K137" s="2061"/>
      <c r="L137" s="2061"/>
      <c r="M137" s="2061"/>
      <c r="N137" s="2061"/>
      <c r="O137" s="2061"/>
      <c r="P137" s="2061"/>
      <c r="Q137" s="2061"/>
      <c r="R137" s="2061"/>
      <c r="S137" s="2061"/>
      <c r="T137" s="2061"/>
      <c r="U137" s="2061"/>
      <c r="V137" s="2061"/>
      <c r="W137" s="2061"/>
      <c r="X137" s="2061"/>
      <c r="Y137" s="2061"/>
      <c r="Z137" s="2061"/>
      <c r="AA137" s="2061"/>
      <c r="AB137" s="2061"/>
      <c r="AC137" s="2061"/>
      <c r="AD137" s="2061"/>
      <c r="AE137" s="2061"/>
      <c r="AF137" s="2061"/>
      <c r="AG137" s="2061"/>
      <c r="AH137" s="2061"/>
      <c r="AI137" s="2061"/>
      <c r="AJ137" s="2061"/>
      <c r="AK137" s="2061"/>
      <c r="AL137" s="2061"/>
      <c r="AM137" s="2061"/>
      <c r="AN137" s="2061"/>
      <c r="AO137" s="1037"/>
      <c r="AP137" s="1037"/>
    </row>
    <row r="138" spans="1:42" s="226" customFormat="1">
      <c r="A138" s="2060"/>
      <c r="B138" s="2061"/>
      <c r="C138" s="2061"/>
      <c r="D138" s="2061"/>
      <c r="E138" s="2061"/>
      <c r="F138" s="2061"/>
      <c r="G138" s="2061"/>
      <c r="H138" s="2062"/>
      <c r="I138" s="2061"/>
      <c r="J138" s="2061"/>
      <c r="K138" s="2061"/>
      <c r="L138" s="2061"/>
      <c r="M138" s="2061"/>
      <c r="N138" s="2061"/>
      <c r="O138" s="2061"/>
      <c r="P138" s="2061"/>
      <c r="Q138" s="2061"/>
      <c r="R138" s="2061"/>
      <c r="S138" s="2061"/>
      <c r="T138" s="2061"/>
      <c r="U138" s="2061"/>
      <c r="V138" s="2061"/>
      <c r="W138" s="2061"/>
      <c r="X138" s="2061"/>
      <c r="Y138" s="2061"/>
      <c r="Z138" s="2061"/>
      <c r="AA138" s="2061"/>
      <c r="AB138" s="2061"/>
      <c r="AC138" s="2061"/>
      <c r="AD138" s="2061"/>
      <c r="AE138" s="2061"/>
      <c r="AF138" s="2061"/>
      <c r="AG138" s="2061"/>
      <c r="AH138" s="2061"/>
      <c r="AI138" s="2061"/>
      <c r="AJ138" s="2061"/>
      <c r="AK138" s="2061"/>
      <c r="AL138" s="2061"/>
      <c r="AM138" s="2061"/>
      <c r="AN138" s="2061"/>
      <c r="AO138" s="1037"/>
      <c r="AP138" s="1037"/>
    </row>
    <row r="139" spans="1:42" s="226" customFormat="1">
      <c r="A139" s="2060"/>
      <c r="B139" s="2061"/>
      <c r="C139" s="2061"/>
      <c r="D139" s="2061"/>
      <c r="E139" s="2061"/>
      <c r="F139" s="2061"/>
      <c r="G139" s="2061"/>
      <c r="H139" s="2062"/>
      <c r="I139" s="2061"/>
      <c r="J139" s="2061"/>
      <c r="K139" s="2061"/>
      <c r="L139" s="2061"/>
      <c r="M139" s="2061"/>
      <c r="N139" s="2061"/>
      <c r="O139" s="2061"/>
      <c r="P139" s="2061"/>
      <c r="Q139" s="2061"/>
      <c r="R139" s="2061"/>
      <c r="S139" s="2061"/>
      <c r="T139" s="2061"/>
      <c r="U139" s="2061"/>
      <c r="V139" s="2061"/>
      <c r="W139" s="2061"/>
      <c r="X139" s="2061"/>
      <c r="Y139" s="2061"/>
      <c r="Z139" s="2061"/>
      <c r="AA139" s="2061"/>
      <c r="AB139" s="2061"/>
      <c r="AC139" s="2061"/>
      <c r="AD139" s="2061"/>
      <c r="AE139" s="2061"/>
      <c r="AF139" s="2061"/>
      <c r="AG139" s="2061"/>
      <c r="AH139" s="2061"/>
      <c r="AI139" s="2061"/>
      <c r="AJ139" s="2061"/>
      <c r="AK139" s="2061"/>
      <c r="AL139" s="2061"/>
      <c r="AM139" s="2061"/>
      <c r="AN139" s="2061"/>
      <c r="AO139" s="1037"/>
      <c r="AP139" s="1037"/>
    </row>
    <row r="140" spans="1:42" s="226" customFormat="1">
      <c r="A140" s="2060"/>
      <c r="B140" s="2061"/>
      <c r="C140" s="2061"/>
      <c r="D140" s="2061"/>
      <c r="E140" s="2061"/>
      <c r="F140" s="2061"/>
      <c r="G140" s="2061"/>
      <c r="H140" s="2062"/>
      <c r="I140" s="2061"/>
      <c r="J140" s="2061"/>
      <c r="K140" s="2061"/>
      <c r="L140" s="2061"/>
      <c r="M140" s="2061"/>
      <c r="N140" s="2061"/>
      <c r="O140" s="2061"/>
      <c r="P140" s="2061"/>
      <c r="Q140" s="2061"/>
      <c r="R140" s="2061"/>
      <c r="S140" s="2061"/>
      <c r="T140" s="2061"/>
      <c r="U140" s="2061"/>
      <c r="V140" s="2061"/>
      <c r="W140" s="2061"/>
      <c r="X140" s="2061"/>
      <c r="Y140" s="2061"/>
      <c r="Z140" s="2061"/>
      <c r="AA140" s="2061"/>
      <c r="AB140" s="2061"/>
      <c r="AC140" s="2061"/>
      <c r="AD140" s="2061"/>
      <c r="AE140" s="2061"/>
      <c r="AF140" s="2061"/>
      <c r="AG140" s="2061"/>
      <c r="AH140" s="2061"/>
      <c r="AI140" s="2061"/>
      <c r="AJ140" s="2061"/>
      <c r="AK140" s="2061"/>
      <c r="AL140" s="2061"/>
      <c r="AM140" s="2061"/>
      <c r="AN140" s="2061"/>
      <c r="AO140" s="1037"/>
      <c r="AP140" s="1037"/>
    </row>
    <row r="141" spans="1:42" s="226" customFormat="1">
      <c r="A141" s="2060"/>
      <c r="B141" s="2061"/>
      <c r="C141" s="2061"/>
      <c r="D141" s="2061"/>
      <c r="E141" s="2061"/>
      <c r="F141" s="2061"/>
      <c r="G141" s="2061"/>
      <c r="H141" s="2062"/>
      <c r="I141" s="2061"/>
      <c r="J141" s="2061"/>
      <c r="K141" s="2061"/>
      <c r="L141" s="2061"/>
      <c r="M141" s="2061"/>
      <c r="N141" s="2061"/>
      <c r="O141" s="2061"/>
      <c r="P141" s="2061"/>
      <c r="Q141" s="2061"/>
      <c r="R141" s="2061"/>
      <c r="S141" s="2061"/>
      <c r="T141" s="2061"/>
      <c r="U141" s="2061"/>
      <c r="V141" s="2061"/>
      <c r="W141" s="2061"/>
      <c r="X141" s="2061"/>
      <c r="Y141" s="2061"/>
      <c r="Z141" s="2061"/>
      <c r="AA141" s="2061"/>
      <c r="AB141" s="2061"/>
      <c r="AC141" s="2061"/>
      <c r="AD141" s="2061"/>
      <c r="AE141" s="2061"/>
      <c r="AF141" s="2061"/>
      <c r="AG141" s="2061"/>
      <c r="AH141" s="2061"/>
      <c r="AI141" s="2061"/>
      <c r="AJ141" s="2061"/>
      <c r="AK141" s="2061"/>
      <c r="AL141" s="2061"/>
      <c r="AM141" s="2061"/>
      <c r="AN141" s="2061"/>
      <c r="AO141" s="1037"/>
      <c r="AP141" s="1037"/>
    </row>
    <row r="142" spans="1:42" s="226" customFormat="1">
      <c r="A142" s="2060"/>
      <c r="B142" s="2061"/>
      <c r="C142" s="2061"/>
      <c r="D142" s="2061"/>
      <c r="E142" s="2061"/>
      <c r="F142" s="2061"/>
      <c r="G142" s="2061"/>
      <c r="H142" s="2062"/>
      <c r="I142" s="2061"/>
      <c r="J142" s="2061"/>
      <c r="K142" s="2061"/>
      <c r="L142" s="2061"/>
      <c r="M142" s="2061"/>
      <c r="N142" s="2061"/>
      <c r="O142" s="2061"/>
      <c r="P142" s="2061"/>
      <c r="Q142" s="2061"/>
      <c r="R142" s="2061"/>
      <c r="S142" s="2061"/>
      <c r="T142" s="2061"/>
      <c r="U142" s="2061"/>
      <c r="V142" s="2061"/>
      <c r="W142" s="2061"/>
      <c r="X142" s="2061"/>
      <c r="Y142" s="2061"/>
      <c r="Z142" s="2061"/>
      <c r="AA142" s="2061"/>
      <c r="AB142" s="2061"/>
      <c r="AC142" s="2061"/>
      <c r="AD142" s="2061"/>
      <c r="AE142" s="2061"/>
      <c r="AF142" s="2061"/>
      <c r="AG142" s="2061"/>
      <c r="AH142" s="2061"/>
      <c r="AI142" s="2061"/>
      <c r="AJ142" s="2061"/>
      <c r="AK142" s="2061"/>
      <c r="AL142" s="2061"/>
      <c r="AM142" s="2061"/>
      <c r="AN142" s="2061"/>
      <c r="AO142" s="1037"/>
      <c r="AP142" s="1037"/>
    </row>
    <row r="143" spans="1:42" s="226" customFormat="1">
      <c r="A143" s="2060"/>
      <c r="B143" s="2061"/>
      <c r="C143" s="2061"/>
      <c r="D143" s="2061"/>
      <c r="E143" s="2061"/>
      <c r="F143" s="2061"/>
      <c r="G143" s="2061"/>
      <c r="H143" s="2062"/>
      <c r="I143" s="2061"/>
      <c r="J143" s="2061"/>
      <c r="K143" s="2061"/>
      <c r="L143" s="2061"/>
      <c r="M143" s="2061"/>
      <c r="N143" s="2061"/>
      <c r="O143" s="2061"/>
      <c r="P143" s="2061"/>
      <c r="Q143" s="2061"/>
      <c r="R143" s="2061"/>
      <c r="S143" s="2061"/>
      <c r="T143" s="2061"/>
      <c r="U143" s="2061"/>
      <c r="V143" s="2061"/>
      <c r="W143" s="2061"/>
      <c r="X143" s="2061"/>
      <c r="Y143" s="2061"/>
      <c r="Z143" s="2061"/>
      <c r="AA143" s="2061"/>
      <c r="AB143" s="2061"/>
      <c r="AC143" s="2061"/>
      <c r="AD143" s="2061"/>
      <c r="AE143" s="2061"/>
      <c r="AF143" s="2061"/>
      <c r="AG143" s="2061"/>
      <c r="AH143" s="2061"/>
      <c r="AI143" s="2061"/>
      <c r="AJ143" s="2061"/>
      <c r="AK143" s="2061"/>
      <c r="AL143" s="2061"/>
      <c r="AM143" s="2061"/>
      <c r="AN143" s="2061"/>
      <c r="AO143" s="1037"/>
      <c r="AP143" s="1037"/>
    </row>
    <row r="144" spans="1:42" s="226" customFormat="1">
      <c r="A144" s="2060"/>
      <c r="B144" s="2061"/>
      <c r="C144" s="2061"/>
      <c r="D144" s="2061"/>
      <c r="E144" s="2061"/>
      <c r="F144" s="2061"/>
      <c r="G144" s="2061"/>
      <c r="H144" s="2062"/>
      <c r="I144" s="2061"/>
      <c r="J144" s="2061"/>
      <c r="K144" s="2061"/>
      <c r="L144" s="2061"/>
      <c r="M144" s="2061"/>
      <c r="N144" s="2061"/>
      <c r="O144" s="2061"/>
      <c r="P144" s="2061"/>
      <c r="Q144" s="2061"/>
      <c r="R144" s="2061"/>
      <c r="S144" s="2061"/>
      <c r="T144" s="2061"/>
      <c r="U144" s="2061"/>
      <c r="V144" s="2061"/>
      <c r="W144" s="2061"/>
      <c r="X144" s="2061"/>
      <c r="Y144" s="2061"/>
      <c r="Z144" s="2061"/>
      <c r="AA144" s="2061"/>
      <c r="AB144" s="2061"/>
      <c r="AC144" s="2061"/>
      <c r="AD144" s="2061"/>
      <c r="AE144" s="2061"/>
      <c r="AF144" s="2061"/>
      <c r="AG144" s="2061"/>
      <c r="AH144" s="2061"/>
      <c r="AI144" s="2061"/>
      <c r="AJ144" s="2061"/>
      <c r="AK144" s="2061"/>
      <c r="AL144" s="2061"/>
      <c r="AM144" s="2061"/>
      <c r="AN144" s="2061"/>
      <c r="AO144" s="1037"/>
      <c r="AP144" s="1037"/>
    </row>
    <row r="145" spans="1:42" s="226" customFormat="1">
      <c r="A145" s="2060"/>
      <c r="B145" s="2061"/>
      <c r="C145" s="2061"/>
      <c r="D145" s="2061"/>
      <c r="E145" s="2061"/>
      <c r="F145" s="2061"/>
      <c r="G145" s="2061"/>
      <c r="H145" s="2062"/>
      <c r="I145" s="2061"/>
      <c r="J145" s="2061"/>
      <c r="K145" s="2061"/>
      <c r="L145" s="2061"/>
      <c r="M145" s="2061"/>
      <c r="N145" s="2061"/>
      <c r="O145" s="2061"/>
      <c r="P145" s="2061"/>
      <c r="Q145" s="2061"/>
      <c r="R145" s="2061"/>
      <c r="S145" s="2061"/>
      <c r="T145" s="2061"/>
      <c r="U145" s="2061"/>
      <c r="V145" s="2061"/>
      <c r="W145" s="2061"/>
      <c r="X145" s="2061"/>
      <c r="Y145" s="2061"/>
      <c r="Z145" s="2061"/>
      <c r="AA145" s="2061"/>
      <c r="AB145" s="2061"/>
      <c r="AC145" s="2061"/>
      <c r="AD145" s="2061"/>
      <c r="AE145" s="2061"/>
      <c r="AF145" s="2061"/>
      <c r="AG145" s="2061"/>
      <c r="AH145" s="2061"/>
      <c r="AI145" s="2061"/>
      <c r="AJ145" s="2061"/>
      <c r="AK145" s="2061"/>
      <c r="AL145" s="2061"/>
      <c r="AM145" s="2061"/>
      <c r="AN145" s="2061"/>
      <c r="AO145" s="1037"/>
      <c r="AP145" s="1037"/>
    </row>
    <row r="146" spans="1:42" s="226" customFormat="1">
      <c r="A146" s="2060"/>
      <c r="B146" s="1037"/>
      <c r="C146" s="1037"/>
      <c r="D146" s="1037"/>
      <c r="E146" s="1037"/>
      <c r="F146" s="1037"/>
      <c r="G146" s="1037"/>
      <c r="H146" s="1018"/>
      <c r="I146" s="1037"/>
      <c r="J146" s="1037"/>
      <c r="K146" s="1037"/>
      <c r="L146" s="1037"/>
      <c r="M146" s="1037"/>
      <c r="N146" s="1037"/>
      <c r="O146" s="1037"/>
      <c r="P146" s="1037"/>
      <c r="Q146" s="1037"/>
      <c r="R146" s="1037"/>
      <c r="S146" s="1037"/>
      <c r="T146" s="1037"/>
      <c r="U146" s="1037"/>
      <c r="V146" s="1037"/>
      <c r="W146" s="1037"/>
      <c r="X146" s="1037"/>
      <c r="Y146" s="1037"/>
      <c r="Z146" s="1037"/>
      <c r="AA146" s="1037"/>
      <c r="AB146" s="1037"/>
      <c r="AC146" s="1037"/>
      <c r="AD146" s="1037"/>
      <c r="AE146" s="1037"/>
      <c r="AF146" s="1037"/>
      <c r="AG146" s="1037"/>
      <c r="AH146" s="1037"/>
      <c r="AI146" s="1037"/>
      <c r="AJ146" s="1037"/>
      <c r="AK146" s="1037"/>
      <c r="AL146" s="1037"/>
      <c r="AM146" s="1037"/>
      <c r="AN146" s="1037"/>
      <c r="AO146" s="1037"/>
      <c r="AP146" s="1037"/>
    </row>
    <row r="147" spans="1:42" s="226" customFormat="1">
      <c r="A147" s="2060"/>
      <c r="B147" s="1037"/>
      <c r="C147" s="1037"/>
      <c r="D147" s="1037"/>
      <c r="E147" s="1037"/>
      <c r="F147" s="1037"/>
      <c r="G147" s="1037"/>
      <c r="H147" s="1018"/>
      <c r="I147" s="1037"/>
      <c r="J147" s="1037"/>
      <c r="K147" s="1037"/>
      <c r="L147" s="1037"/>
      <c r="M147" s="1037"/>
      <c r="N147" s="1037"/>
      <c r="O147" s="1037"/>
      <c r="P147" s="1037"/>
      <c r="Q147" s="1037"/>
      <c r="R147" s="1037"/>
      <c r="S147" s="1037"/>
      <c r="T147" s="1037"/>
      <c r="U147" s="1037"/>
      <c r="V147" s="1037"/>
      <c r="W147" s="1037"/>
      <c r="X147" s="1037"/>
      <c r="Y147" s="1037"/>
      <c r="Z147" s="1037"/>
      <c r="AA147" s="1037"/>
      <c r="AB147" s="1037"/>
      <c r="AC147" s="1037"/>
      <c r="AD147" s="1037"/>
      <c r="AE147" s="1037"/>
      <c r="AF147" s="1037"/>
      <c r="AG147" s="1037"/>
      <c r="AH147" s="1037"/>
      <c r="AI147" s="1037"/>
      <c r="AJ147" s="1037"/>
      <c r="AK147" s="1037"/>
      <c r="AL147" s="1037"/>
      <c r="AM147" s="1037"/>
      <c r="AN147" s="1037"/>
      <c r="AO147" s="1037"/>
      <c r="AP147" s="1037"/>
    </row>
    <row r="148" spans="1:42" s="226" customFormat="1">
      <c r="A148" s="2060"/>
      <c r="B148" s="1037"/>
      <c r="C148" s="1037"/>
      <c r="D148" s="1037"/>
      <c r="E148" s="1037"/>
      <c r="F148" s="1037"/>
      <c r="G148" s="1037"/>
      <c r="H148" s="1018"/>
      <c r="I148" s="1037"/>
      <c r="J148" s="1037"/>
      <c r="K148" s="1037"/>
      <c r="L148" s="1037"/>
      <c r="M148" s="1037"/>
      <c r="N148" s="1037"/>
      <c r="O148" s="1037"/>
      <c r="P148" s="1037"/>
      <c r="Q148" s="1037"/>
      <c r="R148" s="1037"/>
      <c r="S148" s="1037"/>
      <c r="T148" s="1037"/>
      <c r="U148" s="1037"/>
      <c r="V148" s="1037"/>
      <c r="W148" s="1037"/>
      <c r="X148" s="1037"/>
      <c r="Y148" s="1037"/>
      <c r="Z148" s="1037"/>
      <c r="AA148" s="1037"/>
      <c r="AB148" s="1037"/>
      <c r="AC148" s="1037"/>
      <c r="AD148" s="1037"/>
      <c r="AE148" s="1037"/>
      <c r="AF148" s="1037"/>
      <c r="AG148" s="1037"/>
      <c r="AH148" s="1037"/>
      <c r="AI148" s="1037"/>
      <c r="AJ148" s="1037"/>
      <c r="AK148" s="1037"/>
      <c r="AL148" s="1037"/>
      <c r="AM148" s="1037"/>
      <c r="AN148" s="1037"/>
      <c r="AO148" s="1037"/>
      <c r="AP148" s="1037"/>
    </row>
    <row r="149" spans="1:42" s="226" customFormat="1">
      <c r="A149" s="2060"/>
      <c r="B149" s="1037"/>
      <c r="C149" s="1037"/>
      <c r="D149" s="1037"/>
      <c r="E149" s="1037"/>
      <c r="F149" s="1037"/>
      <c r="G149" s="1037"/>
      <c r="H149" s="1018"/>
      <c r="I149" s="1037"/>
      <c r="J149" s="1037"/>
      <c r="K149" s="1037"/>
      <c r="L149" s="1037"/>
      <c r="M149" s="1037"/>
      <c r="N149" s="1037"/>
      <c r="O149" s="1037"/>
      <c r="P149" s="1037"/>
      <c r="Q149" s="1037"/>
      <c r="R149" s="1037"/>
      <c r="S149" s="1037"/>
      <c r="T149" s="1037"/>
      <c r="U149" s="1037"/>
      <c r="V149" s="1037"/>
      <c r="W149" s="1037"/>
      <c r="X149" s="1037"/>
      <c r="Y149" s="1037"/>
      <c r="Z149" s="1037"/>
      <c r="AA149" s="1037"/>
      <c r="AB149" s="1037"/>
      <c r="AC149" s="1037"/>
      <c r="AD149" s="1037"/>
      <c r="AE149" s="1037"/>
      <c r="AF149" s="1037"/>
      <c r="AG149" s="1037"/>
      <c r="AH149" s="1037"/>
      <c r="AI149" s="1037"/>
      <c r="AJ149" s="1037"/>
      <c r="AK149" s="1037"/>
      <c r="AL149" s="1037"/>
      <c r="AM149" s="1037"/>
      <c r="AN149" s="1037"/>
      <c r="AO149" s="1037"/>
      <c r="AP149" s="1037"/>
    </row>
    <row r="150" spans="1:42" s="226" customFormat="1">
      <c r="A150" s="2060"/>
      <c r="B150" s="1037"/>
      <c r="C150" s="1037"/>
      <c r="D150" s="1037"/>
      <c r="E150" s="1037"/>
      <c r="F150" s="1037"/>
      <c r="G150" s="1037"/>
      <c r="H150" s="1018"/>
      <c r="I150" s="1037"/>
      <c r="J150" s="1037"/>
      <c r="K150" s="1037"/>
      <c r="L150" s="1037"/>
      <c r="M150" s="1037"/>
      <c r="N150" s="1037"/>
      <c r="O150" s="1037"/>
      <c r="P150" s="1037"/>
      <c r="Q150" s="1037"/>
      <c r="R150" s="1037"/>
      <c r="S150" s="1037"/>
      <c r="T150" s="1037"/>
      <c r="U150" s="1037"/>
      <c r="V150" s="1037"/>
      <c r="W150" s="1037"/>
      <c r="X150" s="1037"/>
      <c r="Y150" s="1037"/>
      <c r="Z150" s="1037"/>
      <c r="AA150" s="1037"/>
      <c r="AB150" s="1037"/>
      <c r="AC150" s="1037"/>
      <c r="AD150" s="1037"/>
      <c r="AE150" s="1037"/>
      <c r="AF150" s="1037"/>
      <c r="AG150" s="1037"/>
      <c r="AH150" s="1037"/>
      <c r="AI150" s="1037"/>
      <c r="AJ150" s="1037"/>
      <c r="AK150" s="1037"/>
      <c r="AL150" s="1037"/>
      <c r="AM150" s="1037"/>
      <c r="AN150" s="1037"/>
      <c r="AO150" s="1037"/>
      <c r="AP150" s="1037"/>
    </row>
    <row r="151" spans="1:42" s="226" customFormat="1">
      <c r="A151" s="2060"/>
      <c r="B151" s="1037"/>
      <c r="C151" s="1037"/>
      <c r="D151" s="1037"/>
      <c r="E151" s="1037"/>
      <c r="F151" s="1037"/>
      <c r="G151" s="1037"/>
      <c r="H151" s="1018"/>
      <c r="I151" s="1037"/>
      <c r="J151" s="1037"/>
      <c r="K151" s="1037"/>
      <c r="L151" s="1037"/>
      <c r="M151" s="1037"/>
      <c r="N151" s="1037"/>
      <c r="O151" s="1037"/>
      <c r="P151" s="1037"/>
      <c r="Q151" s="1037"/>
      <c r="R151" s="1037"/>
      <c r="S151" s="1037"/>
      <c r="T151" s="1037"/>
      <c r="U151" s="1037"/>
      <c r="V151" s="1037"/>
      <c r="W151" s="1037"/>
      <c r="X151" s="1037"/>
      <c r="Y151" s="1037"/>
      <c r="Z151" s="1037"/>
      <c r="AA151" s="1037"/>
      <c r="AB151" s="1037"/>
      <c r="AC151" s="1037"/>
      <c r="AD151" s="1037"/>
      <c r="AE151" s="1037"/>
      <c r="AF151" s="1037"/>
      <c r="AG151" s="1037"/>
      <c r="AH151" s="1037"/>
      <c r="AI151" s="1037"/>
      <c r="AJ151" s="1037"/>
      <c r="AK151" s="1037"/>
      <c r="AL151" s="1037"/>
      <c r="AM151" s="1037"/>
      <c r="AN151" s="1037"/>
      <c r="AO151" s="1037"/>
      <c r="AP151" s="1037"/>
    </row>
    <row r="152" spans="1:42" s="226" customFormat="1">
      <c r="A152" s="2060"/>
      <c r="B152" s="1037"/>
      <c r="C152" s="1037"/>
      <c r="D152" s="1037"/>
      <c r="E152" s="1037"/>
      <c r="F152" s="1037"/>
      <c r="G152" s="1037"/>
      <c r="H152" s="1018"/>
      <c r="I152" s="1037"/>
      <c r="J152" s="1037"/>
      <c r="K152" s="1037"/>
      <c r="L152" s="1037"/>
      <c r="M152" s="1037"/>
      <c r="N152" s="1037"/>
      <c r="O152" s="1037"/>
      <c r="P152" s="1037"/>
      <c r="Q152" s="1037"/>
      <c r="R152" s="1037"/>
      <c r="S152" s="1037"/>
      <c r="T152" s="1037"/>
      <c r="U152" s="1037"/>
      <c r="V152" s="1037"/>
      <c r="W152" s="1037"/>
      <c r="X152" s="1037"/>
      <c r="Y152" s="1037"/>
      <c r="Z152" s="1037"/>
      <c r="AA152" s="1037"/>
      <c r="AB152" s="1037"/>
      <c r="AC152" s="1037"/>
      <c r="AD152" s="1037"/>
      <c r="AE152" s="1037"/>
      <c r="AF152" s="1037"/>
      <c r="AG152" s="1037"/>
      <c r="AH152" s="1037"/>
      <c r="AI152" s="1037"/>
      <c r="AJ152" s="1037"/>
      <c r="AK152" s="1037"/>
      <c r="AL152" s="1037"/>
      <c r="AM152" s="1037"/>
      <c r="AN152" s="1037"/>
      <c r="AO152" s="1037"/>
      <c r="AP152" s="1037"/>
    </row>
    <row r="153" spans="1:42" s="226" customFormat="1">
      <c r="A153" s="2060"/>
      <c r="B153" s="1037"/>
      <c r="C153" s="1037"/>
      <c r="D153" s="1037"/>
      <c r="E153" s="1037"/>
      <c r="F153" s="1037"/>
      <c r="G153" s="1037"/>
      <c r="H153" s="1018"/>
      <c r="I153" s="1037"/>
      <c r="J153" s="1037"/>
      <c r="K153" s="1037"/>
      <c r="L153" s="1037"/>
      <c r="M153" s="1037"/>
      <c r="N153" s="1037"/>
      <c r="O153" s="1037"/>
      <c r="P153" s="1037"/>
      <c r="Q153" s="1037"/>
      <c r="R153" s="1037"/>
      <c r="S153" s="1037"/>
      <c r="T153" s="1037"/>
      <c r="U153" s="1037"/>
      <c r="V153" s="1037"/>
      <c r="W153" s="1037"/>
      <c r="X153" s="1037"/>
      <c r="Y153" s="1037"/>
      <c r="Z153" s="1037"/>
      <c r="AA153" s="1037"/>
      <c r="AB153" s="1037"/>
      <c r="AC153" s="1037"/>
      <c r="AD153" s="1037"/>
      <c r="AE153" s="1037"/>
      <c r="AF153" s="1037"/>
      <c r="AG153" s="1037"/>
      <c r="AH153" s="1037"/>
      <c r="AI153" s="1037"/>
      <c r="AJ153" s="1037"/>
      <c r="AK153" s="1037"/>
      <c r="AL153" s="1037"/>
      <c r="AM153" s="1037"/>
      <c r="AN153" s="1037"/>
      <c r="AO153" s="1037"/>
      <c r="AP153" s="1037"/>
    </row>
    <row r="154" spans="1:42" s="226" customFormat="1">
      <c r="A154" s="2060"/>
      <c r="B154" s="1037"/>
      <c r="C154" s="1037"/>
      <c r="D154" s="1037"/>
      <c r="E154" s="1037"/>
      <c r="F154" s="1037"/>
      <c r="G154" s="1037"/>
      <c r="H154" s="1018"/>
      <c r="I154" s="1037"/>
      <c r="J154" s="1037"/>
      <c r="K154" s="1037"/>
      <c r="L154" s="1037"/>
      <c r="M154" s="1037"/>
      <c r="N154" s="1037"/>
      <c r="O154" s="1037"/>
      <c r="P154" s="1037"/>
      <c r="Q154" s="1037"/>
      <c r="R154" s="1037"/>
      <c r="S154" s="1037"/>
      <c r="T154" s="1037"/>
      <c r="U154" s="1037"/>
      <c r="V154" s="1037"/>
      <c r="W154" s="1037"/>
      <c r="X154" s="1037"/>
      <c r="Y154" s="1037"/>
      <c r="Z154" s="1037"/>
      <c r="AA154" s="1037"/>
      <c r="AB154" s="1037"/>
      <c r="AC154" s="1037"/>
      <c r="AD154" s="1037"/>
      <c r="AE154" s="1037"/>
      <c r="AF154" s="1037"/>
      <c r="AG154" s="1037"/>
      <c r="AH154" s="1037"/>
      <c r="AI154" s="1037"/>
      <c r="AJ154" s="1037"/>
      <c r="AK154" s="1037"/>
      <c r="AL154" s="1037"/>
      <c r="AM154" s="1037"/>
      <c r="AN154" s="1037"/>
      <c r="AO154" s="1037"/>
      <c r="AP154" s="1037"/>
    </row>
    <row r="155" spans="1:42" s="226" customFormat="1">
      <c r="A155" s="2060"/>
      <c r="B155" s="1037"/>
      <c r="C155" s="1037"/>
      <c r="D155" s="1037"/>
      <c r="E155" s="1037"/>
      <c r="F155" s="1037"/>
      <c r="G155" s="1037"/>
      <c r="H155" s="1018"/>
      <c r="I155" s="1037"/>
      <c r="J155" s="1037"/>
      <c r="K155" s="1037"/>
      <c r="L155" s="1037"/>
      <c r="M155" s="1037"/>
      <c r="N155" s="1037"/>
      <c r="O155" s="1037"/>
      <c r="P155" s="1037"/>
      <c r="Q155" s="1037"/>
      <c r="R155" s="1037"/>
      <c r="S155" s="1037"/>
      <c r="T155" s="1037"/>
      <c r="U155" s="1037"/>
      <c r="V155" s="1037"/>
      <c r="W155" s="1037"/>
      <c r="X155" s="1037"/>
      <c r="Y155" s="1037"/>
      <c r="Z155" s="1037"/>
      <c r="AA155" s="1037"/>
      <c r="AB155" s="1037"/>
      <c r="AC155" s="1037"/>
      <c r="AD155" s="1037"/>
      <c r="AE155" s="1037"/>
      <c r="AF155" s="1037"/>
      <c r="AG155" s="1037"/>
      <c r="AH155" s="1037"/>
      <c r="AI155" s="1037"/>
      <c r="AJ155" s="1037"/>
      <c r="AK155" s="1037"/>
      <c r="AL155" s="1037"/>
      <c r="AM155" s="1037"/>
      <c r="AN155" s="1037"/>
      <c r="AO155" s="1037"/>
      <c r="AP155" s="1037"/>
    </row>
    <row r="156" spans="1:42" s="226" customFormat="1">
      <c r="A156" s="2060"/>
      <c r="B156" s="1037"/>
      <c r="C156" s="1037"/>
      <c r="D156" s="1037"/>
      <c r="E156" s="1037"/>
      <c r="F156" s="1037"/>
      <c r="G156" s="1037"/>
      <c r="H156" s="1018"/>
      <c r="I156" s="1037"/>
      <c r="J156" s="1037"/>
      <c r="K156" s="1037"/>
      <c r="L156" s="1037"/>
      <c r="M156" s="1037"/>
      <c r="N156" s="1037"/>
      <c r="O156" s="1037"/>
      <c r="P156" s="1037"/>
      <c r="Q156" s="1037"/>
      <c r="R156" s="1037"/>
      <c r="S156" s="1037"/>
      <c r="T156" s="1037"/>
      <c r="U156" s="1037"/>
      <c r="V156" s="1037"/>
      <c r="W156" s="1037"/>
      <c r="X156" s="1037"/>
      <c r="Y156" s="1037"/>
      <c r="Z156" s="1037"/>
      <c r="AA156" s="1037"/>
      <c r="AB156" s="1037"/>
      <c r="AC156" s="1037"/>
      <c r="AD156" s="1037"/>
      <c r="AE156" s="1037"/>
      <c r="AF156" s="1037"/>
      <c r="AG156" s="1037"/>
      <c r="AH156" s="1037"/>
      <c r="AI156" s="1037"/>
      <c r="AJ156" s="1037"/>
      <c r="AK156" s="1037"/>
      <c r="AL156" s="1037"/>
      <c r="AM156" s="1037"/>
      <c r="AN156" s="1037"/>
      <c r="AO156" s="1037"/>
      <c r="AP156" s="1037"/>
    </row>
    <row r="157" spans="1:42" s="226" customFormat="1">
      <c r="A157" s="2060"/>
      <c r="B157" s="1037"/>
      <c r="C157" s="1037"/>
      <c r="D157" s="1037"/>
      <c r="E157" s="1037"/>
      <c r="F157" s="1037"/>
      <c r="G157" s="1037"/>
      <c r="H157" s="1018"/>
      <c r="I157" s="1037"/>
      <c r="J157" s="1037"/>
      <c r="K157" s="1037"/>
      <c r="L157" s="1037"/>
      <c r="M157" s="1037"/>
      <c r="N157" s="1037"/>
      <c r="O157" s="1037"/>
      <c r="P157" s="1037"/>
      <c r="Q157" s="1037"/>
      <c r="R157" s="1037"/>
      <c r="S157" s="1037"/>
      <c r="T157" s="1037"/>
      <c r="U157" s="1037"/>
      <c r="V157" s="1037"/>
      <c r="W157" s="1037"/>
      <c r="X157" s="1037"/>
      <c r="Y157" s="1037"/>
      <c r="Z157" s="1037"/>
      <c r="AA157" s="1037"/>
      <c r="AB157" s="1037"/>
      <c r="AC157" s="1037"/>
      <c r="AD157" s="1037"/>
      <c r="AE157" s="1037"/>
      <c r="AF157" s="1037"/>
      <c r="AG157" s="1037"/>
      <c r="AH157" s="1037"/>
      <c r="AI157" s="1037"/>
      <c r="AJ157" s="1037"/>
      <c r="AK157" s="1037"/>
      <c r="AL157" s="1037"/>
      <c r="AM157" s="1037"/>
      <c r="AN157" s="1037"/>
      <c r="AO157" s="1037"/>
      <c r="AP157" s="1037"/>
    </row>
    <row r="158" spans="1:42" s="226" customFormat="1">
      <c r="A158" s="2060"/>
      <c r="B158" s="1037"/>
      <c r="C158" s="1037"/>
      <c r="D158" s="1037"/>
      <c r="E158" s="1037"/>
      <c r="F158" s="1037"/>
      <c r="G158" s="1037"/>
      <c r="H158" s="1018"/>
      <c r="I158" s="1037"/>
      <c r="J158" s="1037"/>
      <c r="K158" s="1037"/>
      <c r="L158" s="1037"/>
      <c r="M158" s="1037"/>
      <c r="N158" s="1037"/>
      <c r="O158" s="1037"/>
      <c r="P158" s="1037"/>
      <c r="Q158" s="1037"/>
      <c r="R158" s="1037"/>
      <c r="S158" s="1037"/>
      <c r="T158" s="1037"/>
      <c r="U158" s="1037"/>
      <c r="V158" s="1037"/>
      <c r="W158" s="1037"/>
      <c r="X158" s="1037"/>
      <c r="Y158" s="1037"/>
      <c r="Z158" s="1037"/>
      <c r="AA158" s="1037"/>
      <c r="AB158" s="1037"/>
      <c r="AC158" s="1037"/>
      <c r="AD158" s="1037"/>
      <c r="AE158" s="1037"/>
      <c r="AF158" s="1037"/>
      <c r="AG158" s="1037"/>
      <c r="AH158" s="1037"/>
      <c r="AI158" s="1037"/>
      <c r="AJ158" s="1037"/>
      <c r="AK158" s="1037"/>
      <c r="AL158" s="1037"/>
      <c r="AM158" s="1037"/>
      <c r="AN158" s="1037"/>
      <c r="AO158" s="1037"/>
      <c r="AP158" s="1037"/>
    </row>
    <row r="159" spans="1:42" s="226" customFormat="1">
      <c r="A159" s="2060"/>
      <c r="B159" s="1037"/>
      <c r="C159" s="1037"/>
      <c r="D159" s="1037"/>
      <c r="E159" s="1037"/>
      <c r="F159" s="1037"/>
      <c r="G159" s="1037"/>
      <c r="H159" s="1018"/>
      <c r="I159" s="1037"/>
      <c r="J159" s="1037"/>
      <c r="K159" s="1037"/>
      <c r="L159" s="1037"/>
      <c r="M159" s="1037"/>
      <c r="N159" s="1037"/>
      <c r="O159" s="1037"/>
      <c r="P159" s="1037"/>
      <c r="Q159" s="1037"/>
      <c r="R159" s="1037"/>
      <c r="S159" s="1037"/>
      <c r="T159" s="1037"/>
      <c r="U159" s="1037"/>
      <c r="V159" s="1037"/>
      <c r="W159" s="1037"/>
      <c r="X159" s="1037"/>
      <c r="Y159" s="1037"/>
      <c r="Z159" s="1037"/>
      <c r="AA159" s="1037"/>
      <c r="AB159" s="1037"/>
      <c r="AC159" s="1037"/>
      <c r="AD159" s="1037"/>
      <c r="AE159" s="1037"/>
      <c r="AF159" s="1037"/>
      <c r="AG159" s="1037"/>
      <c r="AH159" s="1037"/>
      <c r="AI159" s="1037"/>
      <c r="AJ159" s="1037"/>
      <c r="AK159" s="1037"/>
      <c r="AL159" s="1037"/>
      <c r="AM159" s="1037"/>
      <c r="AN159" s="1037"/>
      <c r="AO159" s="1037"/>
      <c r="AP159" s="1037"/>
    </row>
    <row r="160" spans="1:42" s="226" customFormat="1">
      <c r="A160" s="2060"/>
      <c r="B160" s="1037"/>
      <c r="C160" s="1037"/>
      <c r="D160" s="1037"/>
      <c r="E160" s="1037"/>
      <c r="F160" s="1037"/>
      <c r="G160" s="1037"/>
      <c r="H160" s="1018"/>
      <c r="I160" s="1037"/>
      <c r="J160" s="1037"/>
      <c r="K160" s="1037"/>
      <c r="L160" s="1037"/>
      <c r="M160" s="1037"/>
      <c r="N160" s="1037"/>
      <c r="O160" s="1037"/>
      <c r="P160" s="1037"/>
      <c r="Q160" s="1037"/>
      <c r="R160" s="1037"/>
      <c r="S160" s="1037"/>
      <c r="T160" s="1037"/>
      <c r="U160" s="1037"/>
      <c r="V160" s="1037"/>
      <c r="W160" s="1037"/>
      <c r="X160" s="1037"/>
      <c r="Y160" s="1037"/>
      <c r="Z160" s="1037"/>
      <c r="AA160" s="1037"/>
      <c r="AB160" s="1037"/>
      <c r="AC160" s="1037"/>
      <c r="AD160" s="1037"/>
      <c r="AE160" s="1037"/>
      <c r="AF160" s="1037"/>
      <c r="AG160" s="1037"/>
      <c r="AH160" s="1037"/>
      <c r="AI160" s="1037"/>
      <c r="AJ160" s="1037"/>
      <c r="AK160" s="1037"/>
      <c r="AL160" s="1037"/>
      <c r="AM160" s="1037"/>
      <c r="AN160" s="1037"/>
      <c r="AO160" s="1037"/>
      <c r="AP160" s="1037"/>
    </row>
    <row r="161" spans="1:42" s="226" customFormat="1">
      <c r="A161" s="2060"/>
      <c r="B161" s="1037"/>
      <c r="C161" s="1037"/>
      <c r="D161" s="1037"/>
      <c r="E161" s="1037"/>
      <c r="F161" s="1037"/>
      <c r="G161" s="1037"/>
      <c r="H161" s="1018"/>
      <c r="I161" s="1037"/>
      <c r="J161" s="1037"/>
      <c r="K161" s="1037"/>
      <c r="L161" s="1037"/>
      <c r="M161" s="1037"/>
      <c r="N161" s="1037"/>
      <c r="O161" s="1037"/>
      <c r="P161" s="1037"/>
      <c r="Q161" s="1037"/>
      <c r="R161" s="1037"/>
      <c r="S161" s="1037"/>
      <c r="T161" s="1037"/>
      <c r="U161" s="1037"/>
      <c r="V161" s="1037"/>
      <c r="W161" s="1037"/>
      <c r="X161" s="1037"/>
      <c r="Y161" s="1037"/>
      <c r="Z161" s="1037"/>
      <c r="AA161" s="1037"/>
      <c r="AB161" s="1037"/>
      <c r="AC161" s="1037"/>
      <c r="AD161" s="1037"/>
      <c r="AE161" s="1037"/>
      <c r="AF161" s="1037"/>
      <c r="AG161" s="1037"/>
      <c r="AH161" s="1037"/>
      <c r="AI161" s="1037"/>
      <c r="AJ161" s="1037"/>
      <c r="AK161" s="1037"/>
      <c r="AL161" s="1037"/>
      <c r="AM161" s="1037"/>
      <c r="AN161" s="1037"/>
      <c r="AO161" s="1037"/>
      <c r="AP161" s="1037"/>
    </row>
    <row r="162" spans="1:42" s="226" customFormat="1">
      <c r="A162" s="2060"/>
      <c r="B162" s="1037"/>
      <c r="C162" s="1037"/>
      <c r="D162" s="1037"/>
      <c r="E162" s="1037"/>
      <c r="F162" s="1037"/>
      <c r="G162" s="1037"/>
      <c r="H162" s="1018"/>
      <c r="I162" s="1037"/>
      <c r="J162" s="1037"/>
      <c r="K162" s="1037"/>
      <c r="L162" s="1037"/>
      <c r="M162" s="1037"/>
      <c r="N162" s="1037"/>
      <c r="O162" s="1037"/>
      <c r="P162" s="1037"/>
      <c r="Q162" s="1037"/>
      <c r="R162" s="1037"/>
      <c r="S162" s="1037"/>
      <c r="T162" s="1037"/>
      <c r="U162" s="1037"/>
      <c r="V162" s="1037"/>
      <c r="W162" s="1037"/>
      <c r="X162" s="1037"/>
      <c r="Y162" s="1037"/>
      <c r="Z162" s="1037"/>
      <c r="AA162" s="1037"/>
      <c r="AB162" s="1037"/>
      <c r="AC162" s="1037"/>
      <c r="AD162" s="1037"/>
      <c r="AE162" s="1037"/>
      <c r="AF162" s="1037"/>
      <c r="AG162" s="1037"/>
      <c r="AH162" s="1037"/>
      <c r="AI162" s="1037"/>
      <c r="AJ162" s="1037"/>
      <c r="AK162" s="1037"/>
      <c r="AL162" s="1037"/>
      <c r="AM162" s="1037"/>
      <c r="AN162" s="1037"/>
      <c r="AO162" s="1037"/>
      <c r="AP162" s="1037"/>
    </row>
    <row r="163" spans="1:42" s="226" customFormat="1">
      <c r="A163" s="2060"/>
      <c r="B163" s="1037"/>
      <c r="C163" s="1037"/>
      <c r="D163" s="1037"/>
      <c r="E163" s="1037"/>
      <c r="F163" s="1037"/>
      <c r="G163" s="1037"/>
      <c r="H163" s="1018"/>
      <c r="I163" s="1037"/>
      <c r="J163" s="1037"/>
      <c r="K163" s="1037"/>
      <c r="L163" s="1037"/>
      <c r="M163" s="1037"/>
      <c r="N163" s="1037"/>
      <c r="O163" s="1037"/>
      <c r="P163" s="1037"/>
      <c r="Q163" s="1037"/>
      <c r="R163" s="1037"/>
      <c r="S163" s="1037"/>
      <c r="T163" s="1037"/>
      <c r="U163" s="1037"/>
      <c r="V163" s="1037"/>
      <c r="W163" s="1037"/>
      <c r="X163" s="1037"/>
      <c r="Y163" s="1037"/>
      <c r="Z163" s="1037"/>
      <c r="AA163" s="1037"/>
      <c r="AB163" s="1037"/>
      <c r="AC163" s="1037"/>
      <c r="AD163" s="1037"/>
      <c r="AE163" s="1037"/>
      <c r="AF163" s="1037"/>
      <c r="AG163" s="1037"/>
      <c r="AH163" s="1037"/>
      <c r="AI163" s="1037"/>
      <c r="AJ163" s="1037"/>
      <c r="AK163" s="1037"/>
      <c r="AL163" s="1037"/>
      <c r="AM163" s="1037"/>
      <c r="AN163" s="1037"/>
      <c r="AO163" s="1037"/>
      <c r="AP163" s="1037"/>
    </row>
    <row r="164" spans="1:42" s="226" customFormat="1">
      <c r="A164" s="2060"/>
      <c r="B164" s="1037"/>
      <c r="C164" s="1037"/>
      <c r="D164" s="1037"/>
      <c r="E164" s="1037"/>
      <c r="F164" s="1037"/>
      <c r="G164" s="1037"/>
      <c r="H164" s="1018"/>
      <c r="I164" s="1037"/>
      <c r="J164" s="1037"/>
      <c r="K164" s="1037"/>
      <c r="L164" s="1037"/>
      <c r="M164" s="1037"/>
      <c r="N164" s="1037"/>
      <c r="O164" s="1037"/>
      <c r="P164" s="1037"/>
      <c r="Q164" s="1037"/>
      <c r="R164" s="1037"/>
      <c r="S164" s="1037"/>
      <c r="T164" s="1037"/>
      <c r="U164" s="1037"/>
      <c r="V164" s="1037"/>
      <c r="W164" s="1037"/>
      <c r="X164" s="1037"/>
      <c r="Y164" s="1037"/>
      <c r="Z164" s="1037"/>
      <c r="AA164" s="1037"/>
      <c r="AB164" s="1037"/>
      <c r="AC164" s="1037"/>
      <c r="AD164" s="1037"/>
      <c r="AE164" s="1037"/>
      <c r="AF164" s="1037"/>
      <c r="AG164" s="1037"/>
      <c r="AH164" s="1037"/>
      <c r="AI164" s="1037"/>
      <c r="AJ164" s="1037"/>
      <c r="AK164" s="1037"/>
      <c r="AL164" s="1037"/>
      <c r="AM164" s="1037"/>
      <c r="AN164" s="1037"/>
      <c r="AO164" s="1037"/>
      <c r="AP164" s="1037"/>
    </row>
    <row r="165" spans="1:42" s="226" customFormat="1">
      <c r="A165" s="2060"/>
      <c r="B165" s="1037"/>
      <c r="C165" s="1037"/>
      <c r="D165" s="1037"/>
      <c r="E165" s="1037"/>
      <c r="F165" s="1037"/>
      <c r="G165" s="1037"/>
      <c r="H165" s="1018"/>
      <c r="I165" s="1037"/>
      <c r="J165" s="1037"/>
      <c r="K165" s="1037"/>
      <c r="L165" s="1037"/>
      <c r="M165" s="1037"/>
      <c r="N165" s="1037"/>
      <c r="O165" s="1037"/>
      <c r="P165" s="1037"/>
      <c r="Q165" s="1037"/>
      <c r="R165" s="1037"/>
      <c r="S165" s="1037"/>
      <c r="T165" s="1037"/>
      <c r="U165" s="1037"/>
      <c r="V165" s="1037"/>
      <c r="W165" s="1037"/>
      <c r="X165" s="1037"/>
      <c r="Y165" s="1037"/>
      <c r="Z165" s="1037"/>
      <c r="AA165" s="1037"/>
      <c r="AB165" s="1037"/>
      <c r="AC165" s="1037"/>
      <c r="AD165" s="1037"/>
      <c r="AE165" s="1037"/>
      <c r="AF165" s="1037"/>
      <c r="AG165" s="1037"/>
      <c r="AH165" s="1037"/>
      <c r="AI165" s="1037"/>
      <c r="AJ165" s="1037"/>
      <c r="AK165" s="1037"/>
      <c r="AL165" s="1037"/>
      <c r="AM165" s="1037"/>
      <c r="AN165" s="1037"/>
      <c r="AO165" s="1037"/>
      <c r="AP165" s="1037"/>
    </row>
    <row r="166" spans="1:42" s="226" customFormat="1">
      <c r="A166" s="2060"/>
      <c r="B166" s="1037"/>
      <c r="C166" s="1037"/>
      <c r="D166" s="1037"/>
      <c r="E166" s="1037"/>
      <c r="F166" s="1037"/>
      <c r="G166" s="1037"/>
      <c r="H166" s="1018"/>
      <c r="I166" s="1037"/>
      <c r="J166" s="1037"/>
      <c r="K166" s="1037"/>
      <c r="L166" s="1037"/>
      <c r="M166" s="1037"/>
      <c r="N166" s="1037"/>
      <c r="O166" s="1037"/>
      <c r="P166" s="1037"/>
      <c r="Q166" s="1037"/>
      <c r="R166" s="1037"/>
      <c r="S166" s="1037"/>
      <c r="T166" s="1037"/>
      <c r="U166" s="1037"/>
      <c r="V166" s="1037"/>
      <c r="W166" s="1037"/>
      <c r="X166" s="1037"/>
      <c r="Y166" s="1037"/>
      <c r="Z166" s="1037"/>
      <c r="AA166" s="1037"/>
      <c r="AB166" s="1037"/>
      <c r="AC166" s="1037"/>
      <c r="AD166" s="1037"/>
      <c r="AE166" s="1037"/>
      <c r="AF166" s="1037"/>
      <c r="AG166" s="1037"/>
      <c r="AH166" s="1037"/>
      <c r="AI166" s="1037"/>
      <c r="AJ166" s="1037"/>
      <c r="AK166" s="1037"/>
      <c r="AL166" s="1037"/>
      <c r="AM166" s="1037"/>
      <c r="AN166" s="1037"/>
      <c r="AO166" s="1037"/>
      <c r="AP166" s="1037"/>
    </row>
    <row r="167" spans="1:42" s="226" customFormat="1">
      <c r="A167" s="2060"/>
      <c r="B167" s="1037"/>
      <c r="C167" s="1037"/>
      <c r="D167" s="1037"/>
      <c r="E167" s="1037"/>
      <c r="F167" s="1037"/>
      <c r="G167" s="1037"/>
      <c r="H167" s="1018"/>
      <c r="I167" s="1037"/>
      <c r="J167" s="1037"/>
      <c r="K167" s="1037"/>
      <c r="L167" s="1037"/>
      <c r="M167" s="1037"/>
      <c r="N167" s="1037"/>
      <c r="O167" s="1037"/>
      <c r="P167" s="1037"/>
      <c r="Q167" s="1037"/>
      <c r="R167" s="1037"/>
      <c r="S167" s="1037"/>
      <c r="T167" s="1037"/>
      <c r="U167" s="1037"/>
      <c r="V167" s="1037"/>
      <c r="W167" s="1037"/>
      <c r="X167" s="1037"/>
      <c r="Y167" s="1037"/>
      <c r="Z167" s="1037"/>
      <c r="AA167" s="1037"/>
      <c r="AB167" s="1037"/>
      <c r="AC167" s="1037"/>
      <c r="AD167" s="1037"/>
      <c r="AE167" s="1037"/>
      <c r="AF167" s="1037"/>
      <c r="AG167" s="1037"/>
      <c r="AH167" s="1037"/>
      <c r="AI167" s="1037"/>
      <c r="AJ167" s="1037"/>
      <c r="AK167" s="1037"/>
      <c r="AL167" s="1037"/>
      <c r="AM167" s="1037"/>
      <c r="AN167" s="1037"/>
      <c r="AO167" s="1037"/>
      <c r="AP167" s="1037"/>
    </row>
    <row r="168" spans="1:42" s="226" customFormat="1">
      <c r="A168" s="2060"/>
      <c r="B168" s="1037"/>
      <c r="C168" s="1037"/>
      <c r="D168" s="1037"/>
      <c r="E168" s="1037"/>
      <c r="F168" s="1037"/>
      <c r="G168" s="1037"/>
      <c r="H168" s="1018"/>
      <c r="I168" s="1037"/>
      <c r="J168" s="1037"/>
      <c r="K168" s="1037"/>
      <c r="L168" s="1037"/>
      <c r="M168" s="1037"/>
      <c r="N168" s="1037"/>
      <c r="O168" s="1037"/>
      <c r="P168" s="1037"/>
      <c r="Q168" s="1037"/>
      <c r="R168" s="1037"/>
      <c r="S168" s="1037"/>
      <c r="T168" s="1037"/>
      <c r="U168" s="1037"/>
      <c r="V168" s="1037"/>
      <c r="W168" s="1037"/>
      <c r="X168" s="1037"/>
      <c r="Y168" s="1037"/>
      <c r="Z168" s="1037"/>
      <c r="AA168" s="1037"/>
      <c r="AB168" s="1037"/>
      <c r="AC168" s="1037"/>
      <c r="AD168" s="1037"/>
      <c r="AE168" s="1037"/>
      <c r="AF168" s="1037"/>
      <c r="AG168" s="1037"/>
      <c r="AH168" s="1037"/>
      <c r="AI168" s="1037"/>
      <c r="AJ168" s="1037"/>
      <c r="AK168" s="1037"/>
      <c r="AL168" s="1037"/>
      <c r="AM168" s="1037"/>
      <c r="AN168" s="1037"/>
      <c r="AO168" s="1037"/>
      <c r="AP168" s="1037"/>
    </row>
    <row r="169" spans="1:42" s="226" customFormat="1">
      <c r="A169" s="2060"/>
      <c r="B169" s="1037"/>
      <c r="C169" s="1037"/>
      <c r="D169" s="1037"/>
      <c r="E169" s="1037"/>
      <c r="F169" s="1037"/>
      <c r="G169" s="1037"/>
      <c r="H169" s="1018"/>
      <c r="I169" s="1037"/>
      <c r="J169" s="1037"/>
      <c r="K169" s="1037"/>
      <c r="L169" s="1037"/>
      <c r="M169" s="1037"/>
      <c r="N169" s="1037"/>
      <c r="O169" s="1037"/>
      <c r="P169" s="1037"/>
      <c r="Q169" s="1037"/>
      <c r="R169" s="1037"/>
      <c r="S169" s="1037"/>
      <c r="T169" s="1037"/>
      <c r="U169" s="1037"/>
      <c r="V169" s="1037"/>
      <c r="W169" s="1037"/>
      <c r="X169" s="1037"/>
      <c r="Y169" s="1037"/>
      <c r="Z169" s="1037"/>
      <c r="AA169" s="1037"/>
      <c r="AB169" s="1037"/>
      <c r="AC169" s="1037"/>
      <c r="AD169" s="1037"/>
      <c r="AE169" s="1037"/>
      <c r="AF169" s="1037"/>
      <c r="AG169" s="1037"/>
      <c r="AH169" s="1037"/>
      <c r="AI169" s="1037"/>
      <c r="AJ169" s="1037"/>
      <c r="AK169" s="1037"/>
      <c r="AL169" s="1037"/>
      <c r="AM169" s="1037"/>
      <c r="AN169" s="1037"/>
      <c r="AO169" s="1037"/>
      <c r="AP169" s="1037"/>
    </row>
    <row r="170" spans="1:42" s="226" customFormat="1">
      <c r="A170" s="2060"/>
      <c r="B170" s="1037"/>
      <c r="C170" s="1037"/>
      <c r="D170" s="1037"/>
      <c r="E170" s="1037"/>
      <c r="F170" s="1037"/>
      <c r="G170" s="1037"/>
      <c r="H170" s="1018"/>
      <c r="I170" s="1037"/>
      <c r="J170" s="1037"/>
      <c r="K170" s="1037"/>
      <c r="L170" s="1037"/>
      <c r="M170" s="1037"/>
      <c r="N170" s="1037"/>
      <c r="O170" s="1037"/>
      <c r="P170" s="1037"/>
      <c r="Q170" s="1037"/>
      <c r="R170" s="1037"/>
      <c r="S170" s="1037"/>
      <c r="T170" s="1037"/>
      <c r="U170" s="1037"/>
      <c r="V170" s="1037"/>
      <c r="W170" s="1037"/>
      <c r="X170" s="1037"/>
      <c r="Y170" s="1037"/>
      <c r="Z170" s="1037"/>
      <c r="AA170" s="1037"/>
      <c r="AB170" s="1037"/>
      <c r="AC170" s="1037"/>
      <c r="AD170" s="1037"/>
      <c r="AE170" s="1037"/>
      <c r="AF170" s="1037"/>
      <c r="AG170" s="1037"/>
      <c r="AH170" s="1037"/>
      <c r="AI170" s="1037"/>
      <c r="AJ170" s="1037"/>
      <c r="AK170" s="1037"/>
      <c r="AL170" s="1037"/>
      <c r="AM170" s="1037"/>
      <c r="AN170" s="1037"/>
      <c r="AO170" s="1037"/>
      <c r="AP170" s="1037"/>
    </row>
    <row r="171" spans="1:42" s="226" customFormat="1">
      <c r="A171" s="2060"/>
      <c r="B171" s="1037"/>
      <c r="C171" s="1037"/>
      <c r="D171" s="1037"/>
      <c r="E171" s="1037"/>
      <c r="F171" s="1037"/>
      <c r="G171" s="1037"/>
      <c r="H171" s="1018"/>
      <c r="I171" s="1037"/>
      <c r="J171" s="1037"/>
      <c r="K171" s="1037"/>
      <c r="L171" s="1037"/>
      <c r="M171" s="1037"/>
      <c r="N171" s="1037"/>
      <c r="O171" s="1037"/>
      <c r="P171" s="1037"/>
      <c r="Q171" s="1037"/>
      <c r="R171" s="1037"/>
      <c r="S171" s="1037"/>
      <c r="T171" s="1037"/>
      <c r="U171" s="1037"/>
      <c r="V171" s="1037"/>
      <c r="W171" s="1037"/>
      <c r="X171" s="1037"/>
      <c r="Y171" s="1037"/>
      <c r="Z171" s="1037"/>
      <c r="AA171" s="1037"/>
      <c r="AB171" s="1037"/>
      <c r="AC171" s="1037"/>
      <c r="AD171" s="1037"/>
      <c r="AE171" s="1037"/>
      <c r="AF171" s="1037"/>
      <c r="AG171" s="1037"/>
      <c r="AH171" s="1037"/>
      <c r="AI171" s="1037"/>
      <c r="AJ171" s="1037"/>
      <c r="AK171" s="1037"/>
      <c r="AL171" s="1037"/>
      <c r="AM171" s="1037"/>
      <c r="AN171" s="1037"/>
      <c r="AO171" s="1037"/>
      <c r="AP171" s="1037"/>
    </row>
    <row r="172" spans="1:42" s="226" customFormat="1">
      <c r="A172" s="2060"/>
      <c r="B172" s="1037"/>
      <c r="C172" s="1037"/>
      <c r="D172" s="1037"/>
      <c r="E172" s="1037"/>
      <c r="F172" s="1037"/>
      <c r="G172" s="1037"/>
      <c r="H172" s="1018"/>
      <c r="I172" s="1037"/>
      <c r="J172" s="1037"/>
      <c r="K172" s="1037"/>
      <c r="L172" s="1037"/>
      <c r="M172" s="1037"/>
      <c r="N172" s="1037"/>
      <c r="O172" s="1037"/>
      <c r="P172" s="1037"/>
      <c r="Q172" s="1037"/>
      <c r="R172" s="1037"/>
      <c r="S172" s="1037"/>
      <c r="T172" s="1037"/>
      <c r="U172" s="1037"/>
      <c r="V172" s="1037"/>
      <c r="W172" s="1037"/>
      <c r="X172" s="1037"/>
      <c r="Y172" s="1037"/>
      <c r="Z172" s="1037"/>
      <c r="AA172" s="1037"/>
      <c r="AB172" s="1037"/>
      <c r="AC172" s="1037"/>
      <c r="AD172" s="1037"/>
      <c r="AE172" s="1037"/>
      <c r="AF172" s="1037"/>
      <c r="AG172" s="1037"/>
      <c r="AH172" s="1037"/>
      <c r="AI172" s="1037"/>
      <c r="AJ172" s="1037"/>
      <c r="AK172" s="1037"/>
      <c r="AL172" s="1037"/>
      <c r="AM172" s="1037"/>
      <c r="AN172" s="1037"/>
      <c r="AO172" s="1037"/>
      <c r="AP172" s="1037"/>
    </row>
    <row r="173" spans="1:42" s="226" customFormat="1">
      <c r="A173" s="2060"/>
      <c r="B173" s="1037"/>
      <c r="C173" s="1037"/>
      <c r="D173" s="1037"/>
      <c r="E173" s="1037"/>
      <c r="F173" s="1037"/>
      <c r="G173" s="1037"/>
      <c r="H173" s="1018"/>
      <c r="I173" s="1037"/>
      <c r="J173" s="1037"/>
      <c r="K173" s="1037"/>
      <c r="L173" s="1037"/>
      <c r="M173" s="1037"/>
      <c r="N173" s="1037"/>
      <c r="O173" s="1037"/>
      <c r="P173" s="1037"/>
      <c r="Q173" s="1037"/>
      <c r="R173" s="1037"/>
      <c r="S173" s="1037"/>
      <c r="T173" s="1037"/>
      <c r="U173" s="1037"/>
      <c r="V173" s="1037"/>
      <c r="W173" s="1037"/>
      <c r="X173" s="1037"/>
      <c r="Y173" s="1037"/>
      <c r="Z173" s="1037"/>
      <c r="AA173" s="1037"/>
      <c r="AB173" s="1037"/>
      <c r="AC173" s="1037"/>
      <c r="AD173" s="1037"/>
      <c r="AE173" s="1037"/>
      <c r="AF173" s="1037"/>
      <c r="AG173" s="1037"/>
      <c r="AH173" s="1037"/>
      <c r="AI173" s="1037"/>
      <c r="AJ173" s="1037"/>
      <c r="AK173" s="1037"/>
      <c r="AL173" s="1037"/>
      <c r="AM173" s="1037"/>
      <c r="AN173" s="1037"/>
      <c r="AO173" s="1037"/>
      <c r="AP173" s="1037"/>
    </row>
    <row r="174" spans="1:42" s="226" customFormat="1">
      <c r="A174" s="2060"/>
      <c r="B174" s="1037"/>
      <c r="C174" s="1037"/>
      <c r="D174" s="1037"/>
      <c r="E174" s="1037"/>
      <c r="F174" s="1037"/>
      <c r="G174" s="1037"/>
      <c r="H174" s="1018"/>
      <c r="I174" s="1037"/>
      <c r="J174" s="1037"/>
      <c r="K174" s="1037"/>
      <c r="L174" s="1037"/>
      <c r="M174" s="1037"/>
      <c r="N174" s="1037"/>
      <c r="O174" s="1037"/>
      <c r="P174" s="1037"/>
      <c r="Q174" s="1037"/>
      <c r="R174" s="1037"/>
      <c r="S174" s="1037"/>
      <c r="T174" s="1037"/>
      <c r="U174" s="1037"/>
      <c r="V174" s="1037"/>
      <c r="W174" s="1037"/>
      <c r="X174" s="1037"/>
      <c r="Y174" s="1037"/>
      <c r="Z174" s="1037"/>
      <c r="AA174" s="1037"/>
      <c r="AB174" s="1037"/>
      <c r="AC174" s="1037"/>
      <c r="AD174" s="1037"/>
      <c r="AE174" s="1037"/>
      <c r="AF174" s="1037"/>
      <c r="AG174" s="1037"/>
      <c r="AH174" s="1037"/>
      <c r="AI174" s="1037"/>
      <c r="AJ174" s="1037"/>
      <c r="AK174" s="1037"/>
      <c r="AL174" s="1037"/>
      <c r="AM174" s="1037"/>
      <c r="AN174" s="1037"/>
      <c r="AO174" s="1037"/>
      <c r="AP174" s="1037"/>
    </row>
    <row r="175" spans="1:42" s="226" customFormat="1">
      <c r="A175" s="2060"/>
      <c r="B175" s="1037"/>
      <c r="C175" s="1037"/>
      <c r="D175" s="1037"/>
      <c r="E175" s="1037"/>
      <c r="F175" s="1037"/>
      <c r="G175" s="1037"/>
      <c r="H175" s="1018"/>
      <c r="I175" s="1037"/>
      <c r="J175" s="1037"/>
      <c r="K175" s="1037"/>
      <c r="L175" s="1037"/>
      <c r="M175" s="1037"/>
      <c r="N175" s="1037"/>
      <c r="O175" s="1037"/>
      <c r="P175" s="1037"/>
      <c r="Q175" s="1037"/>
      <c r="R175" s="1037"/>
      <c r="S175" s="1037"/>
      <c r="T175" s="1037"/>
      <c r="U175" s="1037"/>
      <c r="V175" s="1037"/>
      <c r="W175" s="1037"/>
      <c r="X175" s="1037"/>
      <c r="Y175" s="1037"/>
      <c r="Z175" s="1037"/>
      <c r="AA175" s="1037"/>
      <c r="AB175" s="1037"/>
      <c r="AC175" s="1037"/>
      <c r="AD175" s="1037"/>
      <c r="AE175" s="1037"/>
      <c r="AF175" s="1037"/>
      <c r="AG175" s="1037"/>
      <c r="AH175" s="1037"/>
      <c r="AI175" s="1037"/>
      <c r="AJ175" s="1037"/>
      <c r="AK175" s="1037"/>
      <c r="AL175" s="1037"/>
      <c r="AM175" s="1037"/>
      <c r="AN175" s="1037"/>
      <c r="AO175" s="1037"/>
      <c r="AP175" s="1037"/>
    </row>
    <row r="176" spans="1:42" s="226" customFormat="1">
      <c r="A176" s="2060"/>
      <c r="B176" s="1037"/>
      <c r="C176" s="1037"/>
      <c r="D176" s="1037"/>
      <c r="E176" s="1037"/>
      <c r="F176" s="1037"/>
      <c r="G176" s="1037"/>
      <c r="H176" s="1018"/>
      <c r="I176" s="1037"/>
      <c r="J176" s="1037"/>
      <c r="K176" s="1037"/>
      <c r="L176" s="1037"/>
      <c r="M176" s="1037"/>
      <c r="N176" s="1037"/>
      <c r="O176" s="1037"/>
      <c r="P176" s="1037"/>
      <c r="Q176" s="1037"/>
      <c r="R176" s="1037"/>
      <c r="S176" s="1037"/>
      <c r="T176" s="1037"/>
      <c r="U176" s="1037"/>
      <c r="V176" s="1037"/>
      <c r="W176" s="1037"/>
      <c r="X176" s="1037"/>
      <c r="Y176" s="1037"/>
      <c r="Z176" s="1037"/>
      <c r="AA176" s="1037"/>
      <c r="AB176" s="1037"/>
      <c r="AC176" s="1037"/>
      <c r="AD176" s="1037"/>
      <c r="AE176" s="1037"/>
      <c r="AF176" s="1037"/>
      <c r="AG176" s="1037"/>
      <c r="AH176" s="1037"/>
      <c r="AI176" s="1037"/>
      <c r="AJ176" s="1037"/>
      <c r="AK176" s="1037"/>
      <c r="AL176" s="1037"/>
      <c r="AM176" s="1037"/>
      <c r="AN176" s="1037"/>
      <c r="AO176" s="1037"/>
      <c r="AP176" s="1037"/>
    </row>
    <row r="177" spans="1:42" s="226" customFormat="1">
      <c r="A177" s="2060"/>
      <c r="B177" s="1037"/>
      <c r="C177" s="1037"/>
      <c r="D177" s="1037"/>
      <c r="E177" s="1037"/>
      <c r="F177" s="1037"/>
      <c r="G177" s="1037"/>
      <c r="H177" s="1018"/>
      <c r="I177" s="1037"/>
      <c r="J177" s="1037"/>
      <c r="K177" s="1037"/>
      <c r="L177" s="1037"/>
      <c r="M177" s="1037"/>
      <c r="N177" s="1037"/>
      <c r="O177" s="1037"/>
      <c r="P177" s="1037"/>
      <c r="Q177" s="1037"/>
      <c r="R177" s="1037"/>
      <c r="S177" s="1037"/>
      <c r="T177" s="1037"/>
      <c r="U177" s="1037"/>
      <c r="V177" s="1037"/>
      <c r="W177" s="1037"/>
      <c r="X177" s="1037"/>
      <c r="Y177" s="1037"/>
      <c r="Z177" s="1037"/>
      <c r="AA177" s="1037"/>
      <c r="AB177" s="1037"/>
      <c r="AC177" s="1037"/>
      <c r="AD177" s="1037"/>
      <c r="AE177" s="1037"/>
      <c r="AF177" s="1037"/>
      <c r="AG177" s="1037"/>
      <c r="AH177" s="1037"/>
      <c r="AI177" s="1037"/>
      <c r="AJ177" s="1037"/>
      <c r="AK177" s="1037"/>
      <c r="AL177" s="1037"/>
      <c r="AM177" s="1037"/>
      <c r="AN177" s="1037"/>
      <c r="AO177" s="1037"/>
      <c r="AP177" s="1037"/>
    </row>
    <row r="178" spans="1:42" s="226" customFormat="1">
      <c r="A178" s="2060"/>
      <c r="B178" s="1037"/>
      <c r="C178" s="1037"/>
      <c r="D178" s="1037"/>
      <c r="E178" s="1037"/>
      <c r="F178" s="1037"/>
      <c r="G178" s="1037"/>
      <c r="H178" s="1018"/>
      <c r="I178" s="1037"/>
      <c r="J178" s="1037"/>
      <c r="K178" s="1037"/>
      <c r="L178" s="1037"/>
      <c r="M178" s="1037"/>
      <c r="N178" s="1037"/>
      <c r="O178" s="1037"/>
      <c r="P178" s="1037"/>
      <c r="Q178" s="1037"/>
      <c r="R178" s="1037"/>
      <c r="S178" s="1037"/>
      <c r="T178" s="1037"/>
      <c r="U178" s="1037"/>
      <c r="V178" s="1037"/>
      <c r="W178" s="1037"/>
      <c r="X178" s="1037"/>
      <c r="Y178" s="1037"/>
      <c r="Z178" s="1037"/>
      <c r="AA178" s="1037"/>
      <c r="AB178" s="1037"/>
      <c r="AC178" s="1037"/>
      <c r="AD178" s="1037"/>
      <c r="AE178" s="1037"/>
      <c r="AF178" s="1037"/>
      <c r="AG178" s="1037"/>
      <c r="AH178" s="1037"/>
      <c r="AI178" s="1037"/>
      <c r="AJ178" s="1037"/>
      <c r="AK178" s="1037"/>
      <c r="AL178" s="1037"/>
      <c r="AM178" s="1037"/>
      <c r="AN178" s="1037"/>
      <c r="AO178" s="1037"/>
      <c r="AP178" s="1037"/>
    </row>
    <row r="179" spans="1:42" s="226" customFormat="1">
      <c r="A179" s="2060"/>
      <c r="B179" s="1037"/>
      <c r="C179" s="1037"/>
      <c r="D179" s="1037"/>
      <c r="E179" s="1037"/>
      <c r="F179" s="1037"/>
      <c r="G179" s="1037"/>
      <c r="H179" s="1018"/>
      <c r="I179" s="1037"/>
      <c r="J179" s="1037"/>
      <c r="K179" s="1037"/>
      <c r="L179" s="1037"/>
      <c r="M179" s="1037"/>
      <c r="N179" s="1037"/>
      <c r="O179" s="1037"/>
      <c r="P179" s="1037"/>
      <c r="Q179" s="1037"/>
      <c r="R179" s="1037"/>
      <c r="S179" s="1037"/>
      <c r="T179" s="1037"/>
      <c r="U179" s="1037"/>
      <c r="V179" s="1037"/>
      <c r="W179" s="1037"/>
      <c r="X179" s="1037"/>
      <c r="Y179" s="1037"/>
      <c r="Z179" s="1037"/>
      <c r="AA179" s="1037"/>
      <c r="AB179" s="1037"/>
      <c r="AC179" s="1037"/>
      <c r="AD179" s="1037"/>
      <c r="AE179" s="1037"/>
      <c r="AF179" s="1037"/>
      <c r="AG179" s="1037"/>
      <c r="AH179" s="1037"/>
      <c r="AI179" s="1037"/>
      <c r="AJ179" s="1037"/>
      <c r="AK179" s="1037"/>
      <c r="AL179" s="1037"/>
      <c r="AM179" s="1037"/>
      <c r="AN179" s="1037"/>
      <c r="AO179" s="1037"/>
      <c r="AP179" s="1037"/>
    </row>
    <row r="180" spans="1:42" s="226" customFormat="1">
      <c r="A180" s="2060"/>
      <c r="B180" s="1037"/>
      <c r="C180" s="1037"/>
      <c r="D180" s="1037"/>
      <c r="E180" s="1037"/>
      <c r="F180" s="1037"/>
      <c r="G180" s="1037"/>
      <c r="H180" s="1018"/>
      <c r="I180" s="1037"/>
      <c r="J180" s="1037"/>
      <c r="K180" s="1037"/>
      <c r="L180" s="1037"/>
      <c r="M180" s="1037"/>
      <c r="N180" s="1037"/>
      <c r="O180" s="1037"/>
      <c r="P180" s="1037"/>
      <c r="Q180" s="1037"/>
      <c r="R180" s="1037"/>
      <c r="S180" s="1037"/>
      <c r="T180" s="1037"/>
      <c r="U180" s="1037"/>
      <c r="V180" s="1037"/>
      <c r="W180" s="1037"/>
      <c r="X180" s="1037"/>
      <c r="Y180" s="1037"/>
      <c r="Z180" s="1037"/>
      <c r="AA180" s="1037"/>
      <c r="AB180" s="1037"/>
      <c r="AC180" s="1037"/>
      <c r="AD180" s="1037"/>
      <c r="AE180" s="1037"/>
      <c r="AF180" s="1037"/>
      <c r="AG180" s="1037"/>
      <c r="AH180" s="1037"/>
      <c r="AI180" s="1037"/>
      <c r="AJ180" s="1037"/>
      <c r="AK180" s="1037"/>
      <c r="AL180" s="1037"/>
      <c r="AM180" s="1037"/>
      <c r="AN180" s="1037"/>
      <c r="AO180" s="1037"/>
      <c r="AP180" s="1037"/>
    </row>
    <row r="181" spans="1:42" s="226" customFormat="1">
      <c r="A181" s="2060"/>
      <c r="B181" s="1037"/>
      <c r="C181" s="1037"/>
      <c r="D181" s="1037"/>
      <c r="E181" s="1037"/>
      <c r="F181" s="1037"/>
      <c r="G181" s="1037"/>
      <c r="H181" s="1018"/>
      <c r="I181" s="1037"/>
      <c r="J181" s="1037"/>
      <c r="K181" s="1037"/>
      <c r="L181" s="1037"/>
      <c r="M181" s="1037"/>
      <c r="N181" s="1037"/>
      <c r="O181" s="1037"/>
      <c r="P181" s="1037"/>
      <c r="Q181" s="1037"/>
      <c r="R181" s="1037"/>
      <c r="S181" s="1037"/>
      <c r="T181" s="1037"/>
      <c r="U181" s="1037"/>
      <c r="V181" s="1037"/>
      <c r="W181" s="1037"/>
      <c r="X181" s="1037"/>
      <c r="Y181" s="1037"/>
      <c r="Z181" s="1037"/>
      <c r="AA181" s="1037"/>
      <c r="AB181" s="1037"/>
      <c r="AC181" s="1037"/>
      <c r="AD181" s="1037"/>
      <c r="AE181" s="1037"/>
      <c r="AF181" s="1037"/>
      <c r="AG181" s="1037"/>
      <c r="AH181" s="1037"/>
      <c r="AI181" s="1037"/>
      <c r="AJ181" s="1037"/>
      <c r="AK181" s="1037"/>
      <c r="AL181" s="1037"/>
      <c r="AM181" s="1037"/>
      <c r="AN181" s="1037"/>
      <c r="AO181" s="1037"/>
      <c r="AP181" s="1037"/>
    </row>
    <row r="182" spans="1:42" s="226" customFormat="1">
      <c r="A182" s="2060"/>
      <c r="B182" s="1037"/>
      <c r="C182" s="1037"/>
      <c r="D182" s="1037"/>
      <c r="E182" s="1037"/>
      <c r="F182" s="1037"/>
      <c r="G182" s="1037"/>
      <c r="H182" s="1018"/>
      <c r="I182" s="1037"/>
      <c r="J182" s="1037"/>
      <c r="K182" s="1037"/>
      <c r="L182" s="1037"/>
      <c r="M182" s="1037"/>
      <c r="N182" s="1037"/>
      <c r="O182" s="1037"/>
      <c r="P182" s="1037"/>
      <c r="Q182" s="1037"/>
      <c r="R182" s="1037"/>
      <c r="S182" s="1037"/>
      <c r="T182" s="1037"/>
      <c r="U182" s="1037"/>
      <c r="V182" s="1037"/>
      <c r="W182" s="1037"/>
      <c r="X182" s="1037"/>
      <c r="Y182" s="1037"/>
      <c r="Z182" s="1037"/>
      <c r="AA182" s="1037"/>
      <c r="AB182" s="1037"/>
      <c r="AC182" s="1037"/>
      <c r="AD182" s="1037"/>
      <c r="AE182" s="1037"/>
      <c r="AF182" s="1037"/>
      <c r="AG182" s="1037"/>
      <c r="AH182" s="1037"/>
      <c r="AI182" s="1037"/>
      <c r="AJ182" s="1037"/>
      <c r="AK182" s="1037"/>
      <c r="AL182" s="1037"/>
      <c r="AM182" s="1037"/>
      <c r="AN182" s="1037"/>
      <c r="AO182" s="1037"/>
      <c r="AP182" s="1037"/>
    </row>
    <row r="183" spans="1:42" s="226" customFormat="1">
      <c r="A183" s="2060"/>
      <c r="B183" s="1037"/>
      <c r="C183" s="1037"/>
      <c r="D183" s="1037"/>
      <c r="E183" s="1037"/>
      <c r="F183" s="1037"/>
      <c r="G183" s="1037"/>
      <c r="H183" s="1018"/>
      <c r="I183" s="1037"/>
      <c r="J183" s="1037"/>
      <c r="K183" s="1037"/>
      <c r="L183" s="1037"/>
      <c r="M183" s="1037"/>
      <c r="N183" s="1037"/>
      <c r="O183" s="1037"/>
      <c r="P183" s="1037"/>
      <c r="Q183" s="1037"/>
      <c r="R183" s="1037"/>
      <c r="S183" s="1037"/>
      <c r="T183" s="1037"/>
      <c r="U183" s="1037"/>
      <c r="V183" s="1037"/>
      <c r="W183" s="1037"/>
      <c r="X183" s="1037"/>
      <c r="Y183" s="1037"/>
      <c r="Z183" s="1037"/>
      <c r="AA183" s="1037"/>
      <c r="AB183" s="1037"/>
      <c r="AC183" s="1037"/>
      <c r="AD183" s="1037"/>
      <c r="AE183" s="1037"/>
      <c r="AF183" s="1037"/>
      <c r="AG183" s="1037"/>
      <c r="AH183" s="1037"/>
      <c r="AI183" s="1037"/>
      <c r="AJ183" s="1037"/>
      <c r="AK183" s="1037"/>
      <c r="AL183" s="1037"/>
      <c r="AM183" s="1037"/>
      <c r="AN183" s="1037"/>
      <c r="AO183" s="1037"/>
      <c r="AP183" s="1037"/>
    </row>
    <row r="184" spans="1:42" s="226" customFormat="1">
      <c r="A184" s="2060"/>
      <c r="B184" s="1037"/>
      <c r="C184" s="1037"/>
      <c r="D184" s="1037"/>
      <c r="E184" s="1037"/>
      <c r="F184" s="1037"/>
      <c r="G184" s="1037"/>
      <c r="H184" s="1018"/>
      <c r="I184" s="1037"/>
      <c r="J184" s="1037"/>
      <c r="K184" s="1037"/>
      <c r="L184" s="1037"/>
      <c r="M184" s="1037"/>
      <c r="N184" s="1037"/>
      <c r="O184" s="1037"/>
      <c r="P184" s="1037"/>
      <c r="Q184" s="1037"/>
      <c r="R184" s="1037"/>
      <c r="S184" s="1037"/>
      <c r="T184" s="1037"/>
      <c r="U184" s="1037"/>
      <c r="V184" s="1037"/>
      <c r="W184" s="1037"/>
      <c r="X184" s="1037"/>
      <c r="Y184" s="1037"/>
      <c r="Z184" s="1037"/>
      <c r="AA184" s="1037"/>
      <c r="AB184" s="1037"/>
      <c r="AC184" s="1037"/>
      <c r="AD184" s="1037"/>
      <c r="AE184" s="1037"/>
      <c r="AF184" s="1037"/>
      <c r="AG184" s="1037"/>
      <c r="AH184" s="1037"/>
      <c r="AI184" s="1037"/>
      <c r="AJ184" s="1037"/>
      <c r="AK184" s="1037"/>
      <c r="AL184" s="1037"/>
      <c r="AM184" s="1037"/>
      <c r="AN184" s="1037"/>
      <c r="AO184" s="1037"/>
      <c r="AP184" s="1037"/>
    </row>
    <row r="185" spans="1:42" s="226" customFormat="1">
      <c r="A185" s="2060"/>
      <c r="B185" s="1037"/>
      <c r="C185" s="1037"/>
      <c r="D185" s="1037"/>
      <c r="E185" s="1037"/>
      <c r="F185" s="1037"/>
      <c r="G185" s="1037"/>
      <c r="H185" s="1018"/>
      <c r="I185" s="1037"/>
      <c r="J185" s="1037"/>
      <c r="K185" s="1037"/>
      <c r="L185" s="1037"/>
      <c r="M185" s="1037"/>
      <c r="N185" s="1037"/>
      <c r="O185" s="1037"/>
      <c r="P185" s="1037"/>
      <c r="Q185" s="1037"/>
      <c r="R185" s="1037"/>
      <c r="S185" s="1037"/>
      <c r="T185" s="1037"/>
      <c r="U185" s="1037"/>
      <c r="V185" s="1037"/>
      <c r="W185" s="1037"/>
      <c r="X185" s="1037"/>
      <c r="Y185" s="1037"/>
      <c r="Z185" s="1037"/>
      <c r="AA185" s="1037"/>
      <c r="AB185" s="1037"/>
      <c r="AC185" s="1037"/>
      <c r="AD185" s="1037"/>
      <c r="AE185" s="1037"/>
      <c r="AF185" s="1037"/>
      <c r="AG185" s="1037"/>
      <c r="AH185" s="1037"/>
      <c r="AI185" s="1037"/>
      <c r="AJ185" s="1037"/>
      <c r="AK185" s="1037"/>
      <c r="AL185" s="1037"/>
      <c r="AM185" s="1037"/>
      <c r="AN185" s="1037"/>
      <c r="AO185" s="1037"/>
      <c r="AP185" s="1037"/>
    </row>
    <row r="186" spans="1:42" s="226" customFormat="1">
      <c r="A186" s="2060"/>
      <c r="B186" s="1037"/>
      <c r="C186" s="1037"/>
      <c r="D186" s="1037"/>
      <c r="E186" s="1037"/>
      <c r="F186" s="1037"/>
      <c r="G186" s="1037"/>
      <c r="H186" s="1018"/>
      <c r="I186" s="1037"/>
      <c r="J186" s="1037"/>
      <c r="K186" s="1037"/>
      <c r="L186" s="1037"/>
      <c r="M186" s="1037"/>
      <c r="N186" s="1037"/>
      <c r="O186" s="1037"/>
      <c r="P186" s="1037"/>
      <c r="Q186" s="1037"/>
      <c r="R186" s="1037"/>
      <c r="S186" s="1037"/>
      <c r="T186" s="1037"/>
      <c r="U186" s="1037"/>
      <c r="V186" s="1037"/>
      <c r="W186" s="1037"/>
      <c r="X186" s="1037"/>
      <c r="Y186" s="1037"/>
      <c r="Z186" s="1037"/>
      <c r="AA186" s="1037"/>
      <c r="AB186" s="1037"/>
      <c r="AC186" s="1037"/>
      <c r="AD186" s="1037"/>
      <c r="AE186" s="1037"/>
      <c r="AF186" s="1037"/>
      <c r="AG186" s="1037"/>
      <c r="AH186" s="1037"/>
      <c r="AI186" s="1037"/>
      <c r="AJ186" s="1037"/>
      <c r="AK186" s="1037"/>
      <c r="AL186" s="1037"/>
      <c r="AM186" s="1037"/>
      <c r="AN186" s="1037"/>
      <c r="AO186" s="1037"/>
      <c r="AP186" s="1037"/>
    </row>
    <row r="187" spans="1:42" s="226" customFormat="1">
      <c r="A187" s="2060"/>
      <c r="B187" s="1037"/>
      <c r="C187" s="1037"/>
      <c r="D187" s="1037"/>
      <c r="E187" s="1037"/>
      <c r="F187" s="1037"/>
      <c r="G187" s="1037"/>
      <c r="H187" s="1018"/>
      <c r="I187" s="1037"/>
      <c r="J187" s="1037"/>
      <c r="K187" s="1037"/>
      <c r="L187" s="1037"/>
      <c r="M187" s="1037"/>
      <c r="N187" s="1037"/>
      <c r="O187" s="1037"/>
      <c r="P187" s="1037"/>
      <c r="Q187" s="1037"/>
      <c r="R187" s="1037"/>
      <c r="S187" s="1037"/>
      <c r="T187" s="1037"/>
      <c r="U187" s="1037"/>
      <c r="V187" s="1037"/>
      <c r="W187" s="1037"/>
      <c r="X187" s="1037"/>
      <c r="Y187" s="1037"/>
      <c r="Z187" s="1037"/>
      <c r="AA187" s="1037"/>
      <c r="AB187" s="1037"/>
      <c r="AC187" s="1037"/>
      <c r="AD187" s="1037"/>
      <c r="AE187" s="1037"/>
      <c r="AF187" s="1037"/>
      <c r="AG187" s="1037"/>
      <c r="AH187" s="1037"/>
      <c r="AI187" s="1037"/>
      <c r="AJ187" s="1037"/>
      <c r="AK187" s="1037"/>
      <c r="AL187" s="1037"/>
      <c r="AM187" s="1037"/>
      <c r="AN187" s="1037"/>
      <c r="AO187" s="1037"/>
      <c r="AP187" s="1037"/>
    </row>
    <row r="188" spans="1:42" s="226" customFormat="1">
      <c r="A188" s="2060"/>
      <c r="B188" s="1037"/>
      <c r="C188" s="1037"/>
      <c r="D188" s="1037"/>
      <c r="E188" s="1037"/>
      <c r="F188" s="1037"/>
      <c r="G188" s="1037"/>
      <c r="H188" s="1018"/>
      <c r="I188" s="1037"/>
      <c r="J188" s="1037"/>
      <c r="K188" s="1037"/>
      <c r="L188" s="1037"/>
      <c r="M188" s="1037"/>
      <c r="N188" s="1037"/>
      <c r="O188" s="1037"/>
      <c r="P188" s="1037"/>
      <c r="Q188" s="1037"/>
      <c r="R188" s="1037"/>
      <c r="S188" s="1037"/>
      <c r="T188" s="1037"/>
      <c r="U188" s="1037"/>
      <c r="V188" s="1037"/>
      <c r="W188" s="1037"/>
      <c r="X188" s="1037"/>
      <c r="Y188" s="1037"/>
      <c r="Z188" s="1037"/>
      <c r="AA188" s="1037"/>
      <c r="AB188" s="1037"/>
      <c r="AC188" s="1037"/>
      <c r="AD188" s="1037"/>
      <c r="AE188" s="1037"/>
      <c r="AF188" s="1037"/>
      <c r="AG188" s="1037"/>
      <c r="AH188" s="1037"/>
      <c r="AI188" s="1037"/>
      <c r="AJ188" s="1037"/>
      <c r="AK188" s="1037"/>
      <c r="AL188" s="1037"/>
      <c r="AM188" s="1037"/>
      <c r="AN188" s="1037"/>
      <c r="AO188" s="1037"/>
      <c r="AP188" s="1037"/>
    </row>
    <row r="189" spans="1:42" s="226" customFormat="1">
      <c r="A189" s="2060"/>
      <c r="B189" s="1037"/>
      <c r="C189" s="1037"/>
      <c r="D189" s="1037"/>
      <c r="E189" s="1037"/>
      <c r="F189" s="1037"/>
      <c r="G189" s="1037"/>
      <c r="H189" s="1018"/>
      <c r="I189" s="1037"/>
      <c r="J189" s="1037"/>
      <c r="K189" s="1037"/>
      <c r="L189" s="1037"/>
      <c r="M189" s="1037"/>
      <c r="N189" s="1037"/>
      <c r="O189" s="1037"/>
      <c r="P189" s="1037"/>
      <c r="Q189" s="1037"/>
      <c r="R189" s="1037"/>
      <c r="S189" s="1037"/>
      <c r="T189" s="1037"/>
      <c r="U189" s="1037"/>
      <c r="V189" s="1037"/>
      <c r="W189" s="1037"/>
      <c r="X189" s="1037"/>
      <c r="Y189" s="1037"/>
      <c r="Z189" s="1037"/>
      <c r="AA189" s="1037"/>
      <c r="AB189" s="1037"/>
      <c r="AC189" s="1037"/>
      <c r="AD189" s="1037"/>
      <c r="AE189" s="1037"/>
      <c r="AF189" s="1037"/>
      <c r="AG189" s="1037"/>
      <c r="AH189" s="1037"/>
      <c r="AI189" s="1037"/>
      <c r="AJ189" s="1037"/>
      <c r="AK189" s="1037"/>
      <c r="AL189" s="1037"/>
      <c r="AM189" s="1037"/>
      <c r="AN189" s="1037"/>
      <c r="AO189" s="1037"/>
      <c r="AP189" s="1037"/>
    </row>
    <row r="190" spans="1:42" s="226" customFormat="1">
      <c r="A190" s="2060"/>
      <c r="B190" s="1037"/>
      <c r="C190" s="1037"/>
      <c r="D190" s="1037"/>
      <c r="E190" s="1037"/>
      <c r="F190" s="1037"/>
      <c r="G190" s="1037"/>
      <c r="H190" s="1018"/>
      <c r="I190" s="1037"/>
      <c r="J190" s="1037"/>
      <c r="K190" s="1037"/>
      <c r="L190" s="1037"/>
      <c r="M190" s="1037"/>
      <c r="N190" s="1037"/>
      <c r="O190" s="1037"/>
      <c r="P190" s="1037"/>
      <c r="Q190" s="1037"/>
      <c r="R190" s="1037"/>
      <c r="S190" s="1037"/>
      <c r="T190" s="1037"/>
      <c r="U190" s="1037"/>
      <c r="V190" s="1037"/>
      <c r="W190" s="1037"/>
      <c r="X190" s="1037"/>
      <c r="Y190" s="1037"/>
      <c r="Z190" s="1037"/>
      <c r="AA190" s="1037"/>
      <c r="AB190" s="1037"/>
      <c r="AC190" s="1037"/>
      <c r="AD190" s="1037"/>
      <c r="AE190" s="1037"/>
      <c r="AF190" s="1037"/>
      <c r="AG190" s="1037"/>
      <c r="AH190" s="1037"/>
      <c r="AI190" s="1037"/>
      <c r="AJ190" s="1037"/>
      <c r="AK190" s="1037"/>
      <c r="AL190" s="1037"/>
      <c r="AM190" s="1037"/>
      <c r="AN190" s="1037"/>
      <c r="AO190" s="1037"/>
      <c r="AP190" s="1037"/>
    </row>
    <row r="191" spans="1:42" s="226" customFormat="1">
      <c r="A191" s="2060"/>
      <c r="B191" s="1037"/>
      <c r="C191" s="1037"/>
      <c r="D191" s="1037"/>
      <c r="E191" s="1037"/>
      <c r="F191" s="1037"/>
      <c r="G191" s="1037"/>
      <c r="H191" s="1018"/>
      <c r="I191" s="1037"/>
      <c r="J191" s="1037"/>
      <c r="K191" s="1037"/>
      <c r="L191" s="1037"/>
      <c r="M191" s="1037"/>
      <c r="N191" s="1037"/>
      <c r="O191" s="1037"/>
      <c r="P191" s="1037"/>
      <c r="Q191" s="1037"/>
      <c r="R191" s="1037"/>
      <c r="S191" s="1037"/>
      <c r="T191" s="1037"/>
      <c r="U191" s="1037"/>
      <c r="V191" s="1037"/>
      <c r="W191" s="1037"/>
      <c r="X191" s="1037"/>
      <c r="Y191" s="1037"/>
      <c r="Z191" s="1037"/>
      <c r="AA191" s="1037"/>
      <c r="AB191" s="1037"/>
      <c r="AC191" s="1037"/>
      <c r="AD191" s="1037"/>
      <c r="AE191" s="1037"/>
      <c r="AF191" s="1037"/>
      <c r="AG191" s="1037"/>
      <c r="AH191" s="1037"/>
      <c r="AI191" s="1037"/>
      <c r="AJ191" s="1037"/>
      <c r="AK191" s="1037"/>
      <c r="AL191" s="1037"/>
      <c r="AM191" s="1037"/>
      <c r="AN191" s="1037"/>
      <c r="AO191" s="1037"/>
      <c r="AP191" s="1037"/>
    </row>
    <row r="192" spans="1:42" s="226" customFormat="1">
      <c r="A192" s="2060"/>
      <c r="B192" s="1037"/>
      <c r="C192" s="1037"/>
      <c r="D192" s="1037"/>
      <c r="E192" s="1037"/>
      <c r="F192" s="1037"/>
      <c r="G192" s="1037"/>
      <c r="H192" s="1018"/>
      <c r="I192" s="1037"/>
      <c r="J192" s="1037"/>
      <c r="K192" s="1037"/>
      <c r="L192" s="1037"/>
      <c r="M192" s="1037"/>
      <c r="N192" s="1037"/>
      <c r="O192" s="1037"/>
      <c r="P192" s="1037"/>
      <c r="Q192" s="1037"/>
      <c r="R192" s="1037"/>
      <c r="S192" s="1037"/>
      <c r="T192" s="1037"/>
      <c r="U192" s="1037"/>
      <c r="V192" s="1037"/>
      <c r="W192" s="1037"/>
      <c r="X192" s="1037"/>
      <c r="Y192" s="1037"/>
      <c r="Z192" s="1037"/>
      <c r="AA192" s="1037"/>
      <c r="AB192" s="1037"/>
      <c r="AC192" s="1037"/>
      <c r="AD192" s="1037"/>
      <c r="AE192" s="1037"/>
      <c r="AF192" s="1037"/>
      <c r="AG192" s="1037"/>
      <c r="AH192" s="1037"/>
      <c r="AI192" s="1037"/>
      <c r="AJ192" s="1037"/>
      <c r="AK192" s="1037"/>
      <c r="AL192" s="1037"/>
      <c r="AM192" s="1037"/>
      <c r="AN192" s="1037"/>
      <c r="AO192" s="1037"/>
      <c r="AP192" s="1037"/>
    </row>
    <row r="193" spans="1:42" s="226" customFormat="1">
      <c r="A193" s="2060"/>
      <c r="B193" s="1037"/>
      <c r="C193" s="1037"/>
      <c r="D193" s="1037"/>
      <c r="E193" s="1037"/>
      <c r="F193" s="1037"/>
      <c r="G193" s="1037"/>
      <c r="H193" s="1018"/>
      <c r="I193" s="1037"/>
      <c r="J193" s="1037"/>
      <c r="K193" s="1037"/>
      <c r="L193" s="1037"/>
      <c r="M193" s="1037"/>
      <c r="N193" s="1037"/>
      <c r="O193" s="1037"/>
      <c r="P193" s="1037"/>
      <c r="Q193" s="1037"/>
      <c r="R193" s="1037"/>
      <c r="S193" s="1037"/>
      <c r="T193" s="1037"/>
      <c r="U193" s="1037"/>
      <c r="V193" s="1037"/>
      <c r="W193" s="1037"/>
      <c r="X193" s="1037"/>
      <c r="Y193" s="1037"/>
      <c r="Z193" s="1037"/>
      <c r="AA193" s="1037"/>
      <c r="AB193" s="1037"/>
      <c r="AC193" s="1037"/>
      <c r="AD193" s="1037"/>
      <c r="AE193" s="1037"/>
      <c r="AF193" s="1037"/>
      <c r="AG193" s="1037"/>
      <c r="AH193" s="1037"/>
      <c r="AI193" s="1037"/>
      <c r="AJ193" s="1037"/>
      <c r="AK193" s="1037"/>
      <c r="AL193" s="1037"/>
      <c r="AM193" s="1037"/>
      <c r="AN193" s="1037"/>
      <c r="AO193" s="1037"/>
      <c r="AP193" s="1037"/>
    </row>
    <row r="194" spans="1:42" s="226" customFormat="1">
      <c r="A194" s="2060"/>
      <c r="B194" s="1037"/>
      <c r="C194" s="1037"/>
      <c r="D194" s="1037"/>
      <c r="E194" s="1037"/>
      <c r="F194" s="1037"/>
      <c r="G194" s="1037"/>
      <c r="H194" s="1018"/>
      <c r="I194" s="1037"/>
      <c r="J194" s="1037"/>
      <c r="K194" s="1037"/>
      <c r="L194" s="1037"/>
      <c r="M194" s="1037"/>
      <c r="N194" s="1037"/>
      <c r="O194" s="1037"/>
      <c r="P194" s="1037"/>
      <c r="Q194" s="1037"/>
      <c r="R194" s="1037"/>
      <c r="S194" s="1037"/>
      <c r="T194" s="1037"/>
      <c r="U194" s="1037"/>
      <c r="V194" s="1037"/>
      <c r="W194" s="1037"/>
      <c r="X194" s="1037"/>
      <c r="Y194" s="1037"/>
      <c r="Z194" s="1037"/>
      <c r="AA194" s="1037"/>
      <c r="AB194" s="1037"/>
      <c r="AC194" s="1037"/>
      <c r="AD194" s="1037"/>
      <c r="AE194" s="1037"/>
      <c r="AF194" s="1037"/>
      <c r="AG194" s="1037"/>
      <c r="AH194" s="1037"/>
      <c r="AI194" s="1037"/>
      <c r="AJ194" s="1037"/>
      <c r="AK194" s="1037"/>
      <c r="AL194" s="1037"/>
      <c r="AM194" s="1037"/>
      <c r="AN194" s="1037"/>
      <c r="AO194" s="1037"/>
      <c r="AP194" s="1037"/>
    </row>
    <row r="195" spans="1:42" s="226" customFormat="1">
      <c r="A195" s="2060"/>
      <c r="B195" s="1037"/>
      <c r="C195" s="1037"/>
      <c r="D195" s="1037"/>
      <c r="E195" s="1037"/>
      <c r="F195" s="1037"/>
      <c r="G195" s="1037"/>
      <c r="H195" s="1018"/>
      <c r="I195" s="1037"/>
      <c r="J195" s="1037"/>
      <c r="K195" s="1037"/>
      <c r="L195" s="1037"/>
      <c r="M195" s="1037"/>
      <c r="N195" s="1037"/>
      <c r="O195" s="1037"/>
      <c r="P195" s="1037"/>
      <c r="Q195" s="1037"/>
      <c r="R195" s="1037"/>
      <c r="S195" s="1037"/>
      <c r="T195" s="1037"/>
      <c r="U195" s="1037"/>
      <c r="V195" s="1037"/>
      <c r="W195" s="1037"/>
      <c r="X195" s="1037"/>
      <c r="Y195" s="1037"/>
      <c r="Z195" s="1037"/>
      <c r="AA195" s="1037"/>
      <c r="AB195" s="1037"/>
      <c r="AC195" s="1037"/>
      <c r="AD195" s="1037"/>
      <c r="AE195" s="1037"/>
      <c r="AF195" s="1037"/>
      <c r="AG195" s="1037"/>
      <c r="AH195" s="1037"/>
      <c r="AI195" s="1037"/>
      <c r="AJ195" s="1037"/>
      <c r="AK195" s="1037"/>
      <c r="AL195" s="1037"/>
      <c r="AM195" s="1037"/>
      <c r="AN195" s="1037"/>
      <c r="AO195" s="1037"/>
      <c r="AP195" s="1037"/>
    </row>
    <row r="196" spans="1:42" s="226" customFormat="1">
      <c r="A196" s="2060"/>
      <c r="B196" s="1037"/>
      <c r="C196" s="1037"/>
      <c r="D196" s="1037"/>
      <c r="E196" s="1037"/>
      <c r="F196" s="1037"/>
      <c r="G196" s="1037"/>
      <c r="H196" s="1018"/>
      <c r="I196" s="1037"/>
      <c r="J196" s="1037"/>
      <c r="K196" s="1037"/>
      <c r="L196" s="1037"/>
      <c r="M196" s="1037"/>
      <c r="N196" s="1037"/>
      <c r="O196" s="1037"/>
      <c r="P196" s="1037"/>
      <c r="Q196" s="1037"/>
      <c r="R196" s="1037"/>
      <c r="S196" s="1037"/>
      <c r="T196" s="1037"/>
      <c r="U196" s="1037"/>
      <c r="V196" s="1037"/>
      <c r="W196" s="1037"/>
      <c r="X196" s="1037"/>
      <c r="Y196" s="1037"/>
      <c r="Z196" s="1037"/>
      <c r="AA196" s="1037"/>
      <c r="AB196" s="1037"/>
      <c r="AC196" s="1037"/>
      <c r="AD196" s="1037"/>
      <c r="AE196" s="1037"/>
      <c r="AF196" s="1037"/>
      <c r="AG196" s="1037"/>
      <c r="AH196" s="1037"/>
      <c r="AI196" s="1037"/>
      <c r="AJ196" s="1037"/>
      <c r="AK196" s="1037"/>
      <c r="AL196" s="1037"/>
      <c r="AM196" s="1037"/>
      <c r="AN196" s="1037"/>
      <c r="AO196" s="1037"/>
      <c r="AP196" s="1037"/>
    </row>
    <row r="197" spans="1:42" s="226" customFormat="1">
      <c r="A197" s="2060"/>
      <c r="B197" s="1037"/>
      <c r="C197" s="1037"/>
      <c r="D197" s="1037"/>
      <c r="E197" s="1037"/>
      <c r="F197" s="1037"/>
      <c r="G197" s="1037"/>
      <c r="H197" s="1018"/>
      <c r="I197" s="1037"/>
      <c r="J197" s="1037"/>
      <c r="K197" s="1037"/>
      <c r="L197" s="1037"/>
      <c r="M197" s="1037"/>
      <c r="N197" s="1037"/>
      <c r="O197" s="1037"/>
      <c r="P197" s="1037"/>
      <c r="Q197" s="1037"/>
      <c r="R197" s="1037"/>
      <c r="S197" s="1037"/>
      <c r="T197" s="1037"/>
      <c r="U197" s="1037"/>
      <c r="V197" s="1037"/>
      <c r="W197" s="1037"/>
      <c r="X197" s="1037"/>
      <c r="Y197" s="1037"/>
      <c r="Z197" s="1037"/>
      <c r="AA197" s="1037"/>
      <c r="AB197" s="1037"/>
      <c r="AC197" s="1037"/>
      <c r="AD197" s="1037"/>
      <c r="AE197" s="1037"/>
      <c r="AF197" s="1037"/>
      <c r="AG197" s="1037"/>
      <c r="AH197" s="1037"/>
      <c r="AI197" s="1037"/>
      <c r="AJ197" s="1037"/>
      <c r="AK197" s="1037"/>
      <c r="AL197" s="1037"/>
      <c r="AM197" s="1037"/>
      <c r="AN197" s="1037"/>
      <c r="AO197" s="1037"/>
      <c r="AP197" s="1037"/>
    </row>
    <row r="198" spans="1:42" s="226" customFormat="1">
      <c r="A198" s="2060"/>
      <c r="B198" s="1037"/>
      <c r="C198" s="1037"/>
      <c r="D198" s="1037"/>
      <c r="E198" s="1037"/>
      <c r="F198" s="1037"/>
      <c r="G198" s="1037"/>
      <c r="H198" s="1018"/>
      <c r="I198" s="1037"/>
      <c r="J198" s="1037"/>
      <c r="K198" s="1037"/>
      <c r="L198" s="1037"/>
      <c r="M198" s="1037"/>
      <c r="N198" s="1037"/>
      <c r="O198" s="1037"/>
      <c r="P198" s="1037"/>
      <c r="Q198" s="1037"/>
      <c r="R198" s="1037"/>
      <c r="S198" s="1037"/>
      <c r="T198" s="1037"/>
      <c r="U198" s="1037"/>
      <c r="V198" s="1037"/>
      <c r="W198" s="1037"/>
      <c r="X198" s="1037"/>
      <c r="Y198" s="1037"/>
      <c r="Z198" s="1037"/>
      <c r="AA198" s="1037"/>
      <c r="AB198" s="1037"/>
      <c r="AC198" s="1037"/>
      <c r="AD198" s="1037"/>
      <c r="AE198" s="1037"/>
      <c r="AF198" s="1037"/>
      <c r="AG198" s="1037"/>
      <c r="AH198" s="1037"/>
      <c r="AI198" s="1037"/>
      <c r="AJ198" s="1037"/>
      <c r="AK198" s="1037"/>
      <c r="AL198" s="1037"/>
      <c r="AM198" s="1037"/>
      <c r="AN198" s="1037"/>
      <c r="AO198" s="1037"/>
      <c r="AP198" s="1037"/>
    </row>
    <row r="199" spans="1:42" s="226" customFormat="1">
      <c r="A199" s="2060"/>
      <c r="B199" s="1037"/>
      <c r="C199" s="1037"/>
      <c r="D199" s="1037"/>
      <c r="E199" s="1037"/>
      <c r="F199" s="1037"/>
      <c r="G199" s="1037"/>
      <c r="H199" s="1018"/>
      <c r="I199" s="1037"/>
      <c r="J199" s="1037"/>
      <c r="K199" s="1037"/>
      <c r="L199" s="1037"/>
      <c r="M199" s="1037"/>
      <c r="N199" s="1037"/>
      <c r="O199" s="1037"/>
      <c r="P199" s="1037"/>
      <c r="Q199" s="1037"/>
      <c r="R199" s="1037"/>
      <c r="S199" s="1037"/>
      <c r="T199" s="1037"/>
      <c r="U199" s="1037"/>
      <c r="V199" s="1037"/>
      <c r="W199" s="1037"/>
      <c r="X199" s="1037"/>
      <c r="Y199" s="1037"/>
      <c r="Z199" s="1037"/>
      <c r="AA199" s="1037"/>
      <c r="AB199" s="1037"/>
      <c r="AC199" s="1037"/>
      <c r="AD199" s="1037"/>
      <c r="AE199" s="1037"/>
      <c r="AF199" s="1037"/>
      <c r="AG199" s="1037"/>
      <c r="AH199" s="1037"/>
      <c r="AI199" s="1037"/>
      <c r="AJ199" s="1037"/>
      <c r="AK199" s="1037"/>
      <c r="AL199" s="1037"/>
      <c r="AM199" s="1037"/>
      <c r="AN199" s="1037"/>
      <c r="AO199" s="1037"/>
      <c r="AP199" s="1037"/>
    </row>
    <row r="200" spans="1:42" s="226" customFormat="1">
      <c r="A200" s="2060"/>
      <c r="B200" s="1037"/>
      <c r="C200" s="1037"/>
      <c r="D200" s="1037"/>
      <c r="E200" s="1037"/>
      <c r="F200" s="1037"/>
      <c r="G200" s="1037"/>
      <c r="H200" s="1018"/>
      <c r="I200" s="1037"/>
      <c r="J200" s="1037"/>
      <c r="K200" s="1037"/>
      <c r="L200" s="1037"/>
      <c r="M200" s="1037"/>
      <c r="N200" s="1037"/>
      <c r="O200" s="1037"/>
      <c r="P200" s="1037"/>
      <c r="Q200" s="1037"/>
      <c r="R200" s="1037"/>
      <c r="S200" s="1037"/>
      <c r="T200" s="1037"/>
      <c r="U200" s="1037"/>
      <c r="V200" s="1037"/>
      <c r="W200" s="1037"/>
      <c r="X200" s="1037"/>
      <c r="Y200" s="1037"/>
      <c r="Z200" s="1037"/>
      <c r="AA200" s="1037"/>
      <c r="AB200" s="1037"/>
      <c r="AC200" s="1037"/>
      <c r="AD200" s="1037"/>
      <c r="AE200" s="1037"/>
      <c r="AF200" s="1037"/>
      <c r="AG200" s="1037"/>
      <c r="AH200" s="1037"/>
      <c r="AI200" s="1037"/>
      <c r="AJ200" s="1037"/>
      <c r="AK200" s="1037"/>
      <c r="AL200" s="1037"/>
      <c r="AM200" s="1037"/>
      <c r="AN200" s="1037"/>
      <c r="AO200" s="1037"/>
      <c r="AP200" s="1037"/>
    </row>
    <row r="201" spans="1:42" s="226" customFormat="1">
      <c r="A201" s="2060"/>
      <c r="B201" s="1037"/>
      <c r="C201" s="1037"/>
      <c r="D201" s="1037"/>
      <c r="E201" s="1037"/>
      <c r="F201" s="1037"/>
      <c r="G201" s="1037"/>
      <c r="H201" s="1018"/>
      <c r="I201" s="1037"/>
      <c r="J201" s="1037"/>
      <c r="K201" s="1037"/>
      <c r="L201" s="1037"/>
      <c r="M201" s="1037"/>
      <c r="N201" s="1037"/>
      <c r="O201" s="1037"/>
      <c r="P201" s="1037"/>
      <c r="Q201" s="1037"/>
      <c r="R201" s="1037"/>
      <c r="S201" s="1037"/>
      <c r="T201" s="1037"/>
      <c r="U201" s="1037"/>
      <c r="V201" s="1037"/>
      <c r="W201" s="1037"/>
      <c r="X201" s="1037"/>
      <c r="Y201" s="1037"/>
      <c r="Z201" s="1037"/>
      <c r="AA201" s="1037"/>
      <c r="AB201" s="1037"/>
      <c r="AC201" s="1037"/>
      <c r="AD201" s="1037"/>
      <c r="AE201" s="1037"/>
      <c r="AF201" s="1037"/>
      <c r="AG201" s="1037"/>
      <c r="AH201" s="1037"/>
      <c r="AI201" s="1037"/>
      <c r="AJ201" s="1037"/>
      <c r="AK201" s="1037"/>
      <c r="AL201" s="1037"/>
      <c r="AM201" s="1037"/>
      <c r="AN201" s="1037"/>
      <c r="AO201" s="1037"/>
      <c r="AP201" s="1037"/>
    </row>
    <row r="202" spans="1:42" s="226" customFormat="1">
      <c r="A202" s="2060"/>
      <c r="B202" s="1037"/>
      <c r="C202" s="1037"/>
      <c r="D202" s="1037"/>
      <c r="E202" s="1037"/>
      <c r="F202" s="1037"/>
      <c r="G202" s="1037"/>
      <c r="H202" s="1018"/>
      <c r="I202" s="1037"/>
      <c r="J202" s="1037"/>
      <c r="K202" s="1037"/>
      <c r="L202" s="1037"/>
      <c r="M202" s="1037"/>
      <c r="N202" s="1037"/>
      <c r="O202" s="1037"/>
      <c r="P202" s="1037"/>
      <c r="Q202" s="1037"/>
      <c r="R202" s="1037"/>
      <c r="S202" s="1037"/>
      <c r="T202" s="1037"/>
      <c r="U202" s="1037"/>
      <c r="V202" s="1037"/>
      <c r="W202" s="1037"/>
      <c r="X202" s="1037"/>
      <c r="Y202" s="1037"/>
      <c r="Z202" s="1037"/>
      <c r="AA202" s="1037"/>
      <c r="AB202" s="1037"/>
      <c r="AC202" s="1037"/>
      <c r="AD202" s="1037"/>
      <c r="AE202" s="1037"/>
      <c r="AF202" s="1037"/>
      <c r="AG202" s="1037"/>
      <c r="AH202" s="1037"/>
      <c r="AI202" s="1037"/>
      <c r="AJ202" s="1037"/>
      <c r="AK202" s="1037"/>
      <c r="AL202" s="1037"/>
      <c r="AM202" s="1037"/>
      <c r="AN202" s="1037"/>
      <c r="AO202" s="1037"/>
      <c r="AP202" s="1037"/>
    </row>
    <row r="203" spans="1:42" s="226" customFormat="1">
      <c r="A203" s="2060"/>
      <c r="B203" s="1037"/>
      <c r="C203" s="1037"/>
      <c r="D203" s="1037"/>
      <c r="E203" s="1037"/>
      <c r="F203" s="1037"/>
      <c r="G203" s="1037"/>
      <c r="H203" s="1018"/>
      <c r="I203" s="1037"/>
      <c r="J203" s="1037"/>
      <c r="K203" s="1037"/>
      <c r="L203" s="1037"/>
      <c r="M203" s="1037"/>
      <c r="N203" s="1037"/>
      <c r="O203" s="1037"/>
      <c r="P203" s="1037"/>
      <c r="Q203" s="1037"/>
      <c r="R203" s="1037"/>
      <c r="S203" s="1037"/>
      <c r="T203" s="1037"/>
      <c r="U203" s="1037"/>
      <c r="V203" s="1037"/>
      <c r="W203" s="1037"/>
      <c r="X203" s="1037"/>
      <c r="Y203" s="1037"/>
      <c r="Z203" s="1037"/>
      <c r="AA203" s="1037"/>
      <c r="AB203" s="1037"/>
      <c r="AC203" s="1037"/>
      <c r="AD203" s="1037"/>
      <c r="AE203" s="1037"/>
      <c r="AF203" s="1037"/>
      <c r="AG203" s="1037"/>
      <c r="AH203" s="1037"/>
      <c r="AI203" s="1037"/>
      <c r="AJ203" s="1037"/>
      <c r="AK203" s="1037"/>
      <c r="AL203" s="1037"/>
      <c r="AM203" s="1037"/>
      <c r="AN203" s="1037"/>
      <c r="AO203" s="1037"/>
      <c r="AP203" s="1037"/>
    </row>
    <row r="204" spans="1:42" s="226" customFormat="1">
      <c r="A204" s="2060"/>
      <c r="B204" s="1037"/>
      <c r="C204" s="1037"/>
      <c r="D204" s="1037"/>
      <c r="E204" s="1037"/>
      <c r="F204" s="1037"/>
      <c r="G204" s="1037"/>
      <c r="H204" s="1018"/>
      <c r="I204" s="1037"/>
      <c r="J204" s="1037"/>
      <c r="K204" s="1037"/>
      <c r="L204" s="1037"/>
      <c r="M204" s="1037"/>
      <c r="N204" s="1037"/>
      <c r="O204" s="1037"/>
      <c r="P204" s="1037"/>
      <c r="Q204" s="1037"/>
      <c r="R204" s="1037"/>
      <c r="S204" s="1037"/>
      <c r="T204" s="1037"/>
      <c r="U204" s="1037"/>
      <c r="V204" s="1037"/>
      <c r="W204" s="1037"/>
      <c r="X204" s="1037"/>
      <c r="Y204" s="1037"/>
      <c r="Z204" s="1037"/>
      <c r="AA204" s="1037"/>
      <c r="AB204" s="1037"/>
      <c r="AC204" s="1037"/>
      <c r="AD204" s="1037"/>
      <c r="AE204" s="1037"/>
      <c r="AF204" s="1037"/>
      <c r="AG204" s="1037"/>
      <c r="AH204" s="1037"/>
      <c r="AI204" s="1037"/>
      <c r="AJ204" s="1037"/>
      <c r="AK204" s="1037"/>
      <c r="AL204" s="1037"/>
      <c r="AM204" s="1037"/>
      <c r="AN204" s="1037"/>
      <c r="AO204" s="1037"/>
      <c r="AP204" s="1037"/>
    </row>
    <row r="205" spans="1:42" s="226" customFormat="1">
      <c r="A205" s="2060"/>
      <c r="B205" s="1037"/>
      <c r="C205" s="1037"/>
      <c r="D205" s="1037"/>
      <c r="E205" s="1037"/>
      <c r="F205" s="1037"/>
      <c r="G205" s="1037"/>
      <c r="H205" s="1018"/>
      <c r="I205" s="1037"/>
      <c r="J205" s="1037"/>
      <c r="K205" s="1037"/>
      <c r="L205" s="1037"/>
      <c r="M205" s="1037"/>
      <c r="N205" s="1037"/>
      <c r="O205" s="1037"/>
      <c r="P205" s="1037"/>
      <c r="Q205" s="1037"/>
      <c r="R205" s="1037"/>
      <c r="S205" s="1037"/>
      <c r="T205" s="1037"/>
      <c r="U205" s="1037"/>
      <c r="V205" s="1037"/>
      <c r="W205" s="1037"/>
      <c r="X205" s="1037"/>
      <c r="Y205" s="1037"/>
      <c r="Z205" s="1037"/>
      <c r="AA205" s="1037"/>
      <c r="AB205" s="1037"/>
      <c r="AC205" s="1037"/>
      <c r="AD205" s="1037"/>
      <c r="AE205" s="1037"/>
      <c r="AF205" s="1037"/>
      <c r="AG205" s="1037"/>
      <c r="AH205" s="1037"/>
      <c r="AI205" s="1037"/>
      <c r="AJ205" s="1037"/>
      <c r="AK205" s="1037"/>
      <c r="AL205" s="1037"/>
      <c r="AM205" s="1037"/>
      <c r="AN205" s="1037"/>
      <c r="AO205" s="1037"/>
      <c r="AP205" s="1037"/>
    </row>
    <row r="206" spans="1:42" s="226" customFormat="1">
      <c r="A206" s="2060"/>
      <c r="B206" s="1037"/>
      <c r="C206" s="1037"/>
      <c r="D206" s="1037"/>
      <c r="E206" s="1037"/>
      <c r="F206" s="1037"/>
      <c r="G206" s="1037"/>
      <c r="H206" s="1018"/>
      <c r="I206" s="1037"/>
      <c r="J206" s="1037"/>
      <c r="K206" s="1037"/>
      <c r="L206" s="1037"/>
      <c r="M206" s="1037"/>
      <c r="N206" s="1037"/>
      <c r="O206" s="1037"/>
      <c r="P206" s="1037"/>
      <c r="Q206" s="1037"/>
      <c r="R206" s="1037"/>
      <c r="S206" s="1037"/>
      <c r="T206" s="1037"/>
      <c r="U206" s="1037"/>
      <c r="V206" s="1037"/>
      <c r="W206" s="1037"/>
      <c r="X206" s="1037"/>
      <c r="Y206" s="1037"/>
      <c r="Z206" s="1037"/>
      <c r="AA206" s="1037"/>
      <c r="AB206" s="1037"/>
      <c r="AC206" s="1037"/>
      <c r="AD206" s="1037"/>
      <c r="AE206" s="1037"/>
      <c r="AF206" s="1037"/>
      <c r="AG206" s="1037"/>
      <c r="AH206" s="1037"/>
      <c r="AI206" s="1037"/>
      <c r="AJ206" s="1037"/>
      <c r="AK206" s="1037"/>
      <c r="AL206" s="1037"/>
      <c r="AM206" s="1037"/>
      <c r="AN206" s="1037"/>
      <c r="AO206" s="1037"/>
      <c r="AP206" s="1037"/>
    </row>
    <row r="207" spans="1:42" s="226" customFormat="1">
      <c r="A207" s="2060"/>
      <c r="B207" s="1037"/>
      <c r="C207" s="1037"/>
      <c r="D207" s="1037"/>
      <c r="E207" s="1037"/>
      <c r="F207" s="1037"/>
      <c r="G207" s="1037"/>
      <c r="H207" s="1018"/>
      <c r="I207" s="1037"/>
      <c r="J207" s="1037"/>
      <c r="K207" s="1037"/>
      <c r="L207" s="1037"/>
      <c r="M207" s="1037"/>
      <c r="N207" s="1037"/>
      <c r="O207" s="1037"/>
      <c r="P207" s="1037"/>
      <c r="Q207" s="1037"/>
      <c r="R207" s="1037"/>
      <c r="S207" s="1037"/>
      <c r="T207" s="1037"/>
      <c r="U207" s="1037"/>
      <c r="V207" s="1037"/>
      <c r="W207" s="1037"/>
      <c r="X207" s="1037"/>
      <c r="Y207" s="1037"/>
      <c r="Z207" s="1037"/>
      <c r="AA207" s="1037"/>
      <c r="AB207" s="1037"/>
      <c r="AC207" s="1037"/>
      <c r="AD207" s="1037"/>
      <c r="AE207" s="1037"/>
      <c r="AF207" s="1037"/>
      <c r="AG207" s="1037"/>
      <c r="AH207" s="1037"/>
      <c r="AI207" s="1037"/>
      <c r="AJ207" s="1037"/>
      <c r="AK207" s="1037"/>
      <c r="AL207" s="1037"/>
      <c r="AM207" s="1037"/>
      <c r="AN207" s="1037"/>
      <c r="AO207" s="1037"/>
      <c r="AP207" s="1037"/>
    </row>
    <row r="208" spans="1:42" s="226" customFormat="1">
      <c r="A208" s="2060"/>
      <c r="B208" s="1037"/>
      <c r="C208" s="1037"/>
      <c r="D208" s="1037"/>
      <c r="E208" s="1037"/>
      <c r="F208" s="1037"/>
      <c r="G208" s="1037"/>
      <c r="H208" s="1018"/>
      <c r="I208" s="1037"/>
      <c r="J208" s="1037"/>
      <c r="K208" s="1037"/>
      <c r="L208" s="1037"/>
      <c r="M208" s="1037"/>
      <c r="N208" s="1037"/>
      <c r="O208" s="1037"/>
      <c r="P208" s="1037"/>
      <c r="Q208" s="1037"/>
      <c r="R208" s="1037"/>
      <c r="S208" s="1037"/>
      <c r="T208" s="1037"/>
      <c r="U208" s="1037"/>
      <c r="V208" s="1037"/>
      <c r="W208" s="1037"/>
      <c r="X208" s="1037"/>
      <c r="Y208" s="1037"/>
      <c r="Z208" s="1037"/>
      <c r="AA208" s="1037"/>
      <c r="AB208" s="1037"/>
      <c r="AC208" s="1037"/>
      <c r="AD208" s="1037"/>
      <c r="AE208" s="1037"/>
      <c r="AF208" s="1037"/>
      <c r="AG208" s="1037"/>
      <c r="AH208" s="1037"/>
      <c r="AI208" s="1037"/>
      <c r="AJ208" s="1037"/>
      <c r="AK208" s="1037"/>
      <c r="AL208" s="1037"/>
      <c r="AM208" s="1037"/>
      <c r="AN208" s="1037"/>
      <c r="AO208" s="1037"/>
      <c r="AP208" s="1037"/>
    </row>
    <row r="209" spans="1:42" s="226" customFormat="1">
      <c r="A209" s="2060"/>
      <c r="B209" s="1037"/>
      <c r="C209" s="1037"/>
      <c r="D209" s="1037"/>
      <c r="E209" s="1037"/>
      <c r="F209" s="1037"/>
      <c r="G209" s="1037"/>
      <c r="H209" s="1018"/>
      <c r="I209" s="1037"/>
      <c r="J209" s="1037"/>
      <c r="K209" s="1037"/>
      <c r="L209" s="1037"/>
      <c r="M209" s="1037"/>
      <c r="N209" s="1037"/>
      <c r="O209" s="1037"/>
      <c r="P209" s="1037"/>
      <c r="Q209" s="1037"/>
      <c r="R209" s="1037"/>
      <c r="S209" s="1037"/>
      <c r="T209" s="1037"/>
      <c r="U209" s="1037"/>
      <c r="V209" s="1037"/>
      <c r="W209" s="1037"/>
      <c r="X209" s="1037"/>
      <c r="Y209" s="1037"/>
      <c r="Z209" s="1037"/>
      <c r="AA209" s="1037"/>
      <c r="AB209" s="1037"/>
      <c r="AC209" s="1037"/>
      <c r="AD209" s="1037"/>
      <c r="AE209" s="1037"/>
      <c r="AF209" s="1037"/>
      <c r="AG209" s="1037"/>
      <c r="AH209" s="1037"/>
      <c r="AI209" s="1037"/>
      <c r="AJ209" s="1037"/>
      <c r="AK209" s="1037"/>
      <c r="AL209" s="1037"/>
      <c r="AM209" s="1037"/>
      <c r="AN209" s="1037"/>
      <c r="AO209" s="1037"/>
      <c r="AP209" s="1037"/>
    </row>
    <row r="210" spans="1:42" s="226" customFormat="1">
      <c r="A210" s="2060"/>
      <c r="B210" s="1037"/>
      <c r="C210" s="1037"/>
      <c r="D210" s="1037"/>
      <c r="E210" s="1037"/>
      <c r="F210" s="1037"/>
      <c r="G210" s="1037"/>
      <c r="H210" s="1018"/>
      <c r="I210" s="1037"/>
      <c r="J210" s="1037"/>
      <c r="K210" s="1037"/>
      <c r="L210" s="1037"/>
      <c r="M210" s="1037"/>
      <c r="N210" s="1037"/>
      <c r="O210" s="1037"/>
      <c r="P210" s="1037"/>
      <c r="Q210" s="1037"/>
      <c r="R210" s="1037"/>
      <c r="S210" s="1037"/>
      <c r="T210" s="1037"/>
      <c r="U210" s="1037"/>
      <c r="V210" s="1037"/>
      <c r="W210" s="1037"/>
      <c r="X210" s="1037"/>
      <c r="Y210" s="1037"/>
      <c r="Z210" s="1037"/>
      <c r="AA210" s="1037"/>
      <c r="AB210" s="1037"/>
      <c r="AC210" s="1037"/>
      <c r="AD210" s="1037"/>
      <c r="AE210" s="1037"/>
      <c r="AF210" s="1037"/>
      <c r="AG210" s="1037"/>
      <c r="AH210" s="1037"/>
      <c r="AI210" s="1037"/>
      <c r="AJ210" s="1037"/>
      <c r="AK210" s="1037"/>
      <c r="AL210" s="1037"/>
      <c r="AM210" s="1037"/>
      <c r="AN210" s="1037"/>
      <c r="AO210" s="1037"/>
      <c r="AP210" s="1037"/>
    </row>
    <row r="211" spans="1:42" s="226" customFormat="1">
      <c r="A211" s="2060"/>
      <c r="B211" s="1037"/>
      <c r="C211" s="1037"/>
      <c r="D211" s="1037"/>
      <c r="E211" s="1037"/>
      <c r="F211" s="1037"/>
      <c r="G211" s="1037"/>
      <c r="H211" s="1018"/>
      <c r="I211" s="1037"/>
      <c r="J211" s="1037"/>
      <c r="K211" s="1037"/>
      <c r="L211" s="1037"/>
      <c r="M211" s="1037"/>
      <c r="N211" s="1037"/>
      <c r="O211" s="1037"/>
      <c r="P211" s="1037"/>
      <c r="Q211" s="1037"/>
      <c r="R211" s="1037"/>
      <c r="S211" s="1037"/>
      <c r="T211" s="1037"/>
      <c r="U211" s="1037"/>
      <c r="V211" s="1037"/>
      <c r="W211" s="1037"/>
      <c r="X211" s="1037"/>
      <c r="Y211" s="1037"/>
      <c r="Z211" s="1037"/>
      <c r="AA211" s="1037"/>
      <c r="AB211" s="1037"/>
      <c r="AC211" s="1037"/>
      <c r="AD211" s="1037"/>
      <c r="AE211" s="1037"/>
      <c r="AF211" s="1037"/>
      <c r="AG211" s="1037"/>
      <c r="AH211" s="1037"/>
      <c r="AI211" s="1037"/>
      <c r="AJ211" s="1037"/>
      <c r="AK211" s="1037"/>
      <c r="AL211" s="1037"/>
      <c r="AM211" s="1037"/>
      <c r="AN211" s="1037"/>
      <c r="AO211" s="1037"/>
      <c r="AP211" s="1037"/>
    </row>
    <row r="212" spans="1:42" s="226" customFormat="1">
      <c r="A212" s="2060"/>
      <c r="B212" s="1037"/>
      <c r="C212" s="1037"/>
      <c r="D212" s="1037"/>
      <c r="E212" s="1037"/>
      <c r="F212" s="1037"/>
      <c r="G212" s="1037"/>
      <c r="H212" s="1018"/>
      <c r="I212" s="1037"/>
      <c r="J212" s="1037"/>
      <c r="K212" s="1037"/>
      <c r="L212" s="1037"/>
      <c r="M212" s="1037"/>
      <c r="N212" s="1037"/>
      <c r="O212" s="1037"/>
      <c r="P212" s="1037"/>
      <c r="Q212" s="1037"/>
      <c r="R212" s="1037"/>
      <c r="S212" s="1037"/>
      <c r="T212" s="1037"/>
      <c r="U212" s="1037"/>
      <c r="V212" s="1037"/>
      <c r="W212" s="1037"/>
      <c r="X212" s="1037"/>
      <c r="Y212" s="1037"/>
      <c r="Z212" s="1037"/>
      <c r="AA212" s="1037"/>
      <c r="AB212" s="1037"/>
      <c r="AC212" s="1037"/>
      <c r="AD212" s="1037"/>
      <c r="AE212" s="1037"/>
      <c r="AF212" s="1037"/>
      <c r="AG212" s="1037"/>
      <c r="AH212" s="1037"/>
      <c r="AI212" s="1037"/>
      <c r="AJ212" s="1037"/>
      <c r="AK212" s="1037"/>
      <c r="AL212" s="1037"/>
      <c r="AM212" s="1037"/>
      <c r="AN212" s="1037"/>
      <c r="AO212" s="1037"/>
      <c r="AP212" s="1037"/>
    </row>
    <row r="213" spans="1:42" s="226" customFormat="1">
      <c r="A213" s="2060"/>
      <c r="B213" s="1037"/>
      <c r="C213" s="1037"/>
      <c r="D213" s="1037"/>
      <c r="E213" s="1037"/>
      <c r="F213" s="1037"/>
      <c r="G213" s="1037"/>
      <c r="H213" s="1018"/>
      <c r="I213" s="1037"/>
      <c r="J213" s="1037"/>
      <c r="K213" s="1037"/>
      <c r="L213" s="1037"/>
      <c r="M213" s="1037"/>
      <c r="N213" s="1037"/>
      <c r="O213" s="1037"/>
      <c r="P213" s="1037"/>
      <c r="Q213" s="1037"/>
      <c r="R213" s="1037"/>
      <c r="S213" s="1037"/>
      <c r="T213" s="1037"/>
      <c r="U213" s="1037"/>
      <c r="V213" s="1037"/>
      <c r="W213" s="1037"/>
      <c r="X213" s="1037"/>
      <c r="Y213" s="1037"/>
      <c r="Z213" s="1037"/>
      <c r="AA213" s="1037"/>
      <c r="AB213" s="1037"/>
      <c r="AC213" s="1037"/>
      <c r="AD213" s="1037"/>
      <c r="AE213" s="1037"/>
      <c r="AF213" s="1037"/>
      <c r="AG213" s="1037"/>
      <c r="AH213" s="1037"/>
      <c r="AI213" s="1037"/>
      <c r="AJ213" s="1037"/>
      <c r="AK213" s="1037"/>
      <c r="AL213" s="1037"/>
      <c r="AM213" s="1037"/>
      <c r="AN213" s="1037"/>
      <c r="AO213" s="1037"/>
      <c r="AP213" s="1037"/>
    </row>
    <row r="214" spans="1:42" s="226" customFormat="1">
      <c r="A214" s="2060"/>
      <c r="B214" s="1037"/>
      <c r="C214" s="1037"/>
      <c r="D214" s="1037"/>
      <c r="E214" s="1037"/>
      <c r="F214" s="1037"/>
      <c r="G214" s="1037"/>
      <c r="H214" s="1018"/>
      <c r="I214" s="1037"/>
      <c r="J214" s="1037"/>
      <c r="K214" s="1037"/>
      <c r="L214" s="1037"/>
      <c r="M214" s="1037"/>
      <c r="N214" s="1037"/>
      <c r="O214" s="1037"/>
      <c r="P214" s="1037"/>
      <c r="Q214" s="1037"/>
      <c r="R214" s="1037"/>
      <c r="S214" s="1037"/>
      <c r="T214" s="1037"/>
      <c r="U214" s="1037"/>
      <c r="V214" s="1037"/>
      <c r="W214" s="1037"/>
      <c r="X214" s="1037"/>
      <c r="Y214" s="1037"/>
      <c r="Z214" s="1037"/>
      <c r="AA214" s="1037"/>
      <c r="AB214" s="1037"/>
      <c r="AC214" s="1037"/>
      <c r="AD214" s="1037"/>
      <c r="AE214" s="1037"/>
      <c r="AF214" s="1037"/>
      <c r="AG214" s="1037"/>
      <c r="AH214" s="1037"/>
      <c r="AI214" s="1037"/>
      <c r="AJ214" s="1037"/>
      <c r="AK214" s="1037"/>
      <c r="AL214" s="1037"/>
      <c r="AM214" s="1037"/>
      <c r="AN214" s="1037"/>
      <c r="AO214" s="1037"/>
      <c r="AP214" s="1037"/>
    </row>
    <row r="215" spans="1:42" s="226" customFormat="1">
      <c r="A215" s="2060"/>
      <c r="B215" s="1037"/>
      <c r="C215" s="1037"/>
      <c r="D215" s="1037"/>
      <c r="E215" s="1037"/>
      <c r="F215" s="1037"/>
      <c r="G215" s="1037"/>
      <c r="H215" s="1018"/>
      <c r="I215" s="1037"/>
      <c r="J215" s="1037"/>
      <c r="K215" s="1037"/>
      <c r="L215" s="1037"/>
      <c r="M215" s="1037"/>
      <c r="N215" s="1037"/>
      <c r="O215" s="1037"/>
      <c r="P215" s="1037"/>
      <c r="Q215" s="1037"/>
      <c r="R215" s="1037"/>
      <c r="S215" s="1037"/>
      <c r="T215" s="1037"/>
      <c r="U215" s="1037"/>
      <c r="V215" s="1037"/>
      <c r="W215" s="1037"/>
      <c r="X215" s="1037"/>
      <c r="Y215" s="1037"/>
      <c r="Z215" s="1037"/>
      <c r="AA215" s="1037"/>
      <c r="AB215" s="1037"/>
      <c r="AC215" s="1037"/>
      <c r="AD215" s="1037"/>
      <c r="AE215" s="1037"/>
      <c r="AF215" s="1037"/>
      <c r="AG215" s="1037"/>
      <c r="AH215" s="1037"/>
      <c r="AI215" s="1037"/>
      <c r="AJ215" s="1037"/>
      <c r="AK215" s="1037"/>
      <c r="AL215" s="1037"/>
      <c r="AM215" s="1037"/>
      <c r="AN215" s="1037"/>
      <c r="AO215" s="1037"/>
      <c r="AP215" s="1037"/>
    </row>
    <row r="216" spans="1:42" s="226" customFormat="1">
      <c r="A216" s="2060"/>
      <c r="B216" s="1037"/>
      <c r="C216" s="1037"/>
      <c r="D216" s="1037"/>
      <c r="E216" s="1037"/>
      <c r="F216" s="1037"/>
      <c r="G216" s="1037"/>
      <c r="H216" s="1018"/>
      <c r="I216" s="1037"/>
      <c r="J216" s="1037"/>
      <c r="K216" s="1037"/>
      <c r="L216" s="1037"/>
      <c r="M216" s="1037"/>
      <c r="N216" s="1037"/>
      <c r="O216" s="1037"/>
      <c r="P216" s="1037"/>
      <c r="Q216" s="1037"/>
      <c r="R216" s="1037"/>
      <c r="S216" s="1037"/>
      <c r="T216" s="1037"/>
      <c r="U216" s="1037"/>
      <c r="V216" s="1037"/>
      <c r="W216" s="1037"/>
      <c r="X216" s="1037"/>
      <c r="Y216" s="1037"/>
      <c r="Z216" s="1037"/>
      <c r="AA216" s="1037"/>
      <c r="AB216" s="1037"/>
      <c r="AC216" s="1037"/>
      <c r="AD216" s="1037"/>
      <c r="AE216" s="1037"/>
      <c r="AF216" s="1037"/>
      <c r="AG216" s="1037"/>
      <c r="AH216" s="1037"/>
      <c r="AI216" s="1037"/>
      <c r="AJ216" s="1037"/>
      <c r="AK216" s="1037"/>
      <c r="AL216" s="1037"/>
      <c r="AM216" s="1037"/>
      <c r="AN216" s="1037"/>
      <c r="AO216" s="1037"/>
      <c r="AP216" s="1037"/>
    </row>
    <row r="217" spans="1:42" s="226" customFormat="1">
      <c r="A217" s="2060"/>
      <c r="B217" s="1037"/>
      <c r="C217" s="1037"/>
      <c r="D217" s="1037"/>
      <c r="E217" s="1037"/>
      <c r="F217" s="1037"/>
      <c r="G217" s="1037"/>
      <c r="H217" s="1018"/>
      <c r="I217" s="1037"/>
      <c r="J217" s="1037"/>
      <c r="K217" s="1037"/>
      <c r="L217" s="1037"/>
      <c r="M217" s="1037"/>
      <c r="N217" s="1037"/>
      <c r="O217" s="1037"/>
      <c r="P217" s="1037"/>
      <c r="Q217" s="1037"/>
      <c r="R217" s="1037"/>
      <c r="S217" s="1037"/>
      <c r="T217" s="1037"/>
      <c r="U217" s="1037"/>
      <c r="V217" s="1037"/>
      <c r="W217" s="1037"/>
      <c r="X217" s="1037"/>
      <c r="Y217" s="1037"/>
      <c r="Z217" s="1037"/>
      <c r="AA217" s="1037"/>
      <c r="AB217" s="1037"/>
      <c r="AC217" s="1037"/>
      <c r="AD217" s="1037"/>
      <c r="AE217" s="1037"/>
      <c r="AF217" s="1037"/>
      <c r="AG217" s="1037"/>
      <c r="AH217" s="1037"/>
      <c r="AI217" s="1037"/>
      <c r="AJ217" s="1037"/>
      <c r="AK217" s="1037"/>
      <c r="AL217" s="1037"/>
      <c r="AM217" s="1037"/>
      <c r="AN217" s="1037"/>
      <c r="AO217" s="1037"/>
      <c r="AP217" s="1037"/>
    </row>
    <row r="218" spans="1:42" s="226" customFormat="1">
      <c r="A218" s="2060"/>
      <c r="B218" s="1037"/>
      <c r="C218" s="1037"/>
      <c r="D218" s="1037"/>
      <c r="E218" s="1037"/>
      <c r="F218" s="1037"/>
      <c r="G218" s="1037"/>
      <c r="H218" s="1018"/>
      <c r="I218" s="1037"/>
      <c r="J218" s="1037"/>
      <c r="K218" s="1037"/>
      <c r="L218" s="1037"/>
      <c r="M218" s="1037"/>
      <c r="N218" s="1037"/>
      <c r="O218" s="1037"/>
      <c r="P218" s="1037"/>
      <c r="Q218" s="1037"/>
      <c r="R218" s="1037"/>
      <c r="S218" s="1037"/>
      <c r="T218" s="1037"/>
      <c r="U218" s="1037"/>
      <c r="V218" s="1037"/>
      <c r="W218" s="1037"/>
      <c r="X218" s="1037"/>
      <c r="Y218" s="1037"/>
      <c r="Z218" s="1037"/>
      <c r="AA218" s="1037"/>
      <c r="AB218" s="1037"/>
      <c r="AC218" s="1037"/>
      <c r="AD218" s="1037"/>
      <c r="AE218" s="1037"/>
      <c r="AF218" s="1037"/>
      <c r="AG218" s="1037"/>
      <c r="AH218" s="1037"/>
      <c r="AI218" s="1037"/>
      <c r="AJ218" s="1037"/>
      <c r="AK218" s="1037"/>
      <c r="AL218" s="1037"/>
      <c r="AM218" s="1037"/>
      <c r="AN218" s="1037"/>
      <c r="AO218" s="1037"/>
      <c r="AP218" s="1037"/>
    </row>
    <row r="219" spans="1:42" s="226" customFormat="1">
      <c r="A219" s="2060"/>
      <c r="B219" s="1037"/>
      <c r="C219" s="1037"/>
      <c r="D219" s="1037"/>
      <c r="E219" s="1037"/>
      <c r="F219" s="1037"/>
      <c r="G219" s="1037"/>
      <c r="H219" s="1018"/>
      <c r="I219" s="1037"/>
      <c r="J219" s="1037"/>
      <c r="K219" s="1037"/>
      <c r="L219" s="1037"/>
      <c r="M219" s="1037"/>
      <c r="N219" s="1037"/>
      <c r="O219" s="1037"/>
      <c r="P219" s="1037"/>
      <c r="Q219" s="1037"/>
      <c r="R219" s="1037"/>
      <c r="S219" s="1037"/>
      <c r="T219" s="1037"/>
      <c r="U219" s="1037"/>
      <c r="V219" s="1037"/>
      <c r="W219" s="1037"/>
      <c r="X219" s="1037"/>
      <c r="Y219" s="1037"/>
      <c r="Z219" s="1037"/>
      <c r="AA219" s="1037"/>
      <c r="AB219" s="1037"/>
      <c r="AC219" s="1037"/>
      <c r="AD219" s="1037"/>
      <c r="AE219" s="1037"/>
      <c r="AF219" s="1037"/>
      <c r="AG219" s="1037"/>
      <c r="AH219" s="1037"/>
      <c r="AI219" s="1037"/>
      <c r="AJ219" s="1037"/>
      <c r="AK219" s="1037"/>
      <c r="AL219" s="1037"/>
      <c r="AM219" s="1037"/>
      <c r="AN219" s="1037"/>
      <c r="AO219" s="1037"/>
      <c r="AP219" s="1037"/>
    </row>
    <row r="220" spans="1:42" s="226" customFormat="1">
      <c r="A220" s="2060"/>
      <c r="B220" s="1037"/>
      <c r="C220" s="1037"/>
      <c r="D220" s="1037"/>
      <c r="E220" s="1037"/>
      <c r="F220" s="1037"/>
      <c r="G220" s="1037"/>
      <c r="H220" s="1018"/>
      <c r="I220" s="1037"/>
      <c r="J220" s="1037"/>
      <c r="K220" s="1037"/>
      <c r="L220" s="1037"/>
      <c r="M220" s="1037"/>
      <c r="N220" s="1037"/>
      <c r="O220" s="1037"/>
      <c r="P220" s="1037"/>
      <c r="Q220" s="1037"/>
      <c r="R220" s="1037"/>
      <c r="S220" s="1037"/>
      <c r="T220" s="1037"/>
      <c r="U220" s="1037"/>
      <c r="V220" s="1037"/>
      <c r="W220" s="1037"/>
      <c r="X220" s="1037"/>
      <c r="Y220" s="1037"/>
      <c r="Z220" s="1037"/>
      <c r="AA220" s="1037"/>
      <c r="AB220" s="1037"/>
      <c r="AC220" s="1037"/>
      <c r="AD220" s="1037"/>
      <c r="AE220" s="1037"/>
      <c r="AF220" s="1037"/>
      <c r="AG220" s="1037"/>
      <c r="AH220" s="1037"/>
      <c r="AI220" s="1037"/>
      <c r="AJ220" s="1037"/>
      <c r="AK220" s="1037"/>
      <c r="AL220" s="1037"/>
      <c r="AM220" s="1037"/>
      <c r="AN220" s="1037"/>
      <c r="AO220" s="1037"/>
      <c r="AP220" s="1037"/>
    </row>
    <row r="221" spans="1:42" s="226" customFormat="1">
      <c r="A221" s="2060"/>
      <c r="B221" s="1037"/>
      <c r="C221" s="1037"/>
      <c r="D221" s="1037"/>
      <c r="E221" s="1037"/>
      <c r="F221" s="1037"/>
      <c r="G221" s="1037"/>
      <c r="H221" s="1018"/>
      <c r="I221" s="1037"/>
      <c r="J221" s="1037"/>
      <c r="K221" s="1037"/>
      <c r="L221" s="1037"/>
      <c r="M221" s="1037"/>
      <c r="N221" s="1037"/>
      <c r="O221" s="1037"/>
      <c r="P221" s="1037"/>
      <c r="Q221" s="1037"/>
      <c r="R221" s="1037"/>
      <c r="S221" s="1037"/>
      <c r="T221" s="1037"/>
      <c r="U221" s="1037"/>
      <c r="V221" s="1037"/>
      <c r="W221" s="1037"/>
      <c r="X221" s="1037"/>
      <c r="Y221" s="1037"/>
      <c r="Z221" s="1037"/>
      <c r="AA221" s="1037"/>
      <c r="AB221" s="1037"/>
      <c r="AC221" s="1037"/>
      <c r="AD221" s="1037"/>
      <c r="AE221" s="1037"/>
      <c r="AF221" s="1037"/>
      <c r="AG221" s="1037"/>
      <c r="AH221" s="1037"/>
      <c r="AI221" s="1037"/>
      <c r="AJ221" s="1037"/>
      <c r="AK221" s="1037"/>
      <c r="AL221" s="1037"/>
      <c r="AM221" s="1037"/>
      <c r="AN221" s="1037"/>
      <c r="AO221" s="1037"/>
      <c r="AP221" s="1037"/>
    </row>
    <row r="222" spans="1:42" s="226" customFormat="1">
      <c r="A222" s="2060"/>
      <c r="B222" s="1037"/>
      <c r="C222" s="1037"/>
      <c r="D222" s="1037"/>
      <c r="E222" s="1037"/>
      <c r="F222" s="1037"/>
      <c r="G222" s="1037"/>
      <c r="H222" s="1018"/>
      <c r="I222" s="1037"/>
      <c r="J222" s="1037"/>
      <c r="K222" s="1037"/>
      <c r="L222" s="1037"/>
      <c r="M222" s="1037"/>
      <c r="N222" s="1037"/>
      <c r="O222" s="1037"/>
      <c r="P222" s="1037"/>
      <c r="Q222" s="1037"/>
      <c r="R222" s="1037"/>
      <c r="S222" s="1037"/>
      <c r="T222" s="1037"/>
      <c r="U222" s="1037"/>
      <c r="V222" s="1037"/>
      <c r="W222" s="1037"/>
      <c r="X222" s="1037"/>
      <c r="Y222" s="1037"/>
      <c r="Z222" s="1037"/>
      <c r="AA222" s="1037"/>
      <c r="AB222" s="1037"/>
      <c r="AC222" s="1037"/>
      <c r="AD222" s="1037"/>
      <c r="AE222" s="1037"/>
      <c r="AF222" s="1037"/>
      <c r="AG222" s="1037"/>
      <c r="AH222" s="1037"/>
      <c r="AI222" s="1037"/>
      <c r="AJ222" s="1037"/>
      <c r="AK222" s="1037"/>
      <c r="AL222" s="1037"/>
      <c r="AM222" s="1037"/>
      <c r="AN222" s="1037"/>
      <c r="AO222" s="1037"/>
      <c r="AP222" s="1037"/>
    </row>
    <row r="223" spans="1:42" s="226" customFormat="1">
      <c r="A223" s="2060"/>
      <c r="B223" s="1037"/>
      <c r="C223" s="1037"/>
      <c r="D223" s="1037"/>
      <c r="E223" s="1037"/>
      <c r="F223" s="1037"/>
      <c r="G223" s="1037"/>
      <c r="H223" s="1018"/>
      <c r="I223" s="1037"/>
      <c r="J223" s="1037"/>
      <c r="K223" s="1037"/>
      <c r="L223" s="1037"/>
      <c r="M223" s="1037"/>
      <c r="N223" s="1037"/>
      <c r="O223" s="1037"/>
      <c r="P223" s="1037"/>
      <c r="Q223" s="1037"/>
      <c r="R223" s="1037"/>
      <c r="S223" s="1037"/>
      <c r="T223" s="1037"/>
      <c r="U223" s="1037"/>
      <c r="V223" s="1037"/>
      <c r="W223" s="1037"/>
      <c r="X223" s="1037"/>
      <c r="Y223" s="1037"/>
      <c r="Z223" s="1037"/>
      <c r="AA223" s="1037"/>
      <c r="AB223" s="1037"/>
      <c r="AC223" s="1037"/>
      <c r="AD223" s="1037"/>
      <c r="AE223" s="1037"/>
      <c r="AF223" s="1037"/>
      <c r="AG223" s="1037"/>
      <c r="AH223" s="1037"/>
      <c r="AI223" s="1037"/>
      <c r="AJ223" s="1037"/>
      <c r="AK223" s="1037"/>
      <c r="AL223" s="1037"/>
      <c r="AM223" s="1037"/>
      <c r="AN223" s="1037"/>
      <c r="AO223" s="1037"/>
      <c r="AP223" s="1037"/>
    </row>
    <row r="224" spans="1:42" s="226" customFormat="1">
      <c r="A224" s="2060"/>
      <c r="B224" s="1037"/>
      <c r="C224" s="1037"/>
      <c r="D224" s="1037"/>
      <c r="E224" s="1037"/>
      <c r="F224" s="1037"/>
      <c r="G224" s="1037"/>
      <c r="H224" s="1018"/>
      <c r="I224" s="1037"/>
      <c r="J224" s="1037"/>
      <c r="K224" s="1037"/>
      <c r="L224" s="1037"/>
      <c r="M224" s="1037"/>
      <c r="N224" s="1037"/>
      <c r="O224" s="1037"/>
      <c r="P224" s="1037"/>
      <c r="Q224" s="1037"/>
      <c r="R224" s="1037"/>
      <c r="S224" s="1037"/>
      <c r="T224" s="1037"/>
      <c r="U224" s="1037"/>
      <c r="V224" s="1037"/>
      <c r="W224" s="1037"/>
      <c r="X224" s="1037"/>
      <c r="Y224" s="1037"/>
      <c r="Z224" s="1037"/>
      <c r="AA224" s="1037"/>
      <c r="AB224" s="1037"/>
      <c r="AC224" s="1037"/>
      <c r="AD224" s="1037"/>
      <c r="AE224" s="1037"/>
      <c r="AF224" s="1037"/>
      <c r="AG224" s="1037"/>
      <c r="AH224" s="1037"/>
      <c r="AI224" s="1037"/>
      <c r="AJ224" s="1037"/>
      <c r="AK224" s="1037"/>
      <c r="AL224" s="1037"/>
      <c r="AM224" s="1037"/>
      <c r="AN224" s="1037"/>
      <c r="AO224" s="1037"/>
      <c r="AP224" s="1037"/>
    </row>
    <row r="225" spans="1:42" s="226" customFormat="1">
      <c r="A225" s="2060"/>
      <c r="B225" s="1037"/>
      <c r="C225" s="1037"/>
      <c r="D225" s="1037"/>
      <c r="E225" s="1037"/>
      <c r="F225" s="1037"/>
      <c r="G225" s="1037"/>
      <c r="H225" s="1018"/>
      <c r="I225" s="1037"/>
      <c r="J225" s="1037"/>
      <c r="K225" s="1037"/>
      <c r="L225" s="1037"/>
      <c r="M225" s="1037"/>
      <c r="N225" s="1037"/>
      <c r="O225" s="1037"/>
      <c r="P225" s="1037"/>
      <c r="Q225" s="1037"/>
      <c r="R225" s="1037"/>
      <c r="S225" s="1037"/>
      <c r="T225" s="1037"/>
      <c r="U225" s="1037"/>
      <c r="V225" s="1037"/>
      <c r="W225" s="1037"/>
      <c r="X225" s="1037"/>
      <c r="Y225" s="1037"/>
      <c r="Z225" s="1037"/>
      <c r="AA225" s="1037"/>
      <c r="AB225" s="1037"/>
      <c r="AC225" s="1037"/>
      <c r="AD225" s="1037"/>
      <c r="AE225" s="1037"/>
      <c r="AF225" s="1037"/>
      <c r="AG225" s="1037"/>
      <c r="AH225" s="1037"/>
      <c r="AI225" s="1037"/>
      <c r="AJ225" s="1037"/>
      <c r="AK225" s="1037"/>
      <c r="AL225" s="1037"/>
      <c r="AM225" s="1037"/>
      <c r="AN225" s="1037"/>
      <c r="AO225" s="1037"/>
      <c r="AP225" s="1037"/>
    </row>
    <row r="226" spans="1:42" s="226" customFormat="1">
      <c r="A226" s="2060"/>
      <c r="B226" s="1037"/>
      <c r="C226" s="1037"/>
      <c r="D226" s="1037"/>
      <c r="E226" s="1037"/>
      <c r="F226" s="1037"/>
      <c r="G226" s="1037"/>
      <c r="H226" s="1018"/>
      <c r="I226" s="1037"/>
      <c r="J226" s="1037"/>
      <c r="K226" s="1037"/>
      <c r="L226" s="1037"/>
      <c r="M226" s="1037"/>
      <c r="N226" s="1037"/>
      <c r="O226" s="1037"/>
      <c r="P226" s="1037"/>
      <c r="Q226" s="1037"/>
      <c r="R226" s="1037"/>
      <c r="S226" s="1037"/>
      <c r="T226" s="1037"/>
      <c r="U226" s="1037"/>
      <c r="V226" s="1037"/>
      <c r="W226" s="1037"/>
      <c r="X226" s="1037"/>
      <c r="Y226" s="1037"/>
      <c r="Z226" s="1037"/>
      <c r="AA226" s="1037"/>
      <c r="AB226" s="1037"/>
      <c r="AC226" s="1037"/>
      <c r="AD226" s="1037"/>
      <c r="AE226" s="1037"/>
      <c r="AF226" s="1037"/>
      <c r="AG226" s="1037"/>
      <c r="AH226" s="1037"/>
      <c r="AI226" s="1037"/>
      <c r="AJ226" s="1037"/>
      <c r="AK226" s="1037"/>
      <c r="AL226" s="1037"/>
      <c r="AM226" s="1037"/>
      <c r="AN226" s="1037"/>
      <c r="AO226" s="1037"/>
      <c r="AP226" s="1037"/>
    </row>
    <row r="227" spans="1:42" s="226" customFormat="1">
      <c r="A227" s="2060"/>
      <c r="B227" s="1037"/>
      <c r="C227" s="1037"/>
      <c r="D227" s="1037"/>
      <c r="E227" s="1037"/>
      <c r="F227" s="1037"/>
      <c r="G227" s="1037"/>
      <c r="H227" s="1018"/>
      <c r="I227" s="1037"/>
      <c r="J227" s="1037"/>
      <c r="K227" s="1037"/>
      <c r="L227" s="1037"/>
      <c r="M227" s="1037"/>
      <c r="N227" s="1037"/>
      <c r="O227" s="1037"/>
      <c r="P227" s="1037"/>
      <c r="Q227" s="1037"/>
      <c r="R227" s="1037"/>
      <c r="S227" s="1037"/>
      <c r="T227" s="1037"/>
      <c r="U227" s="1037"/>
      <c r="V227" s="1037"/>
      <c r="W227" s="1037"/>
      <c r="X227" s="1037"/>
      <c r="Y227" s="1037"/>
      <c r="Z227" s="1037"/>
      <c r="AA227" s="1037"/>
      <c r="AB227" s="1037"/>
      <c r="AC227" s="1037"/>
      <c r="AD227" s="1037"/>
      <c r="AE227" s="1037"/>
      <c r="AF227" s="1037"/>
      <c r="AG227" s="1037"/>
      <c r="AH227" s="1037"/>
      <c r="AI227" s="1037"/>
      <c r="AJ227" s="1037"/>
      <c r="AK227" s="1037"/>
      <c r="AL227" s="1037"/>
      <c r="AM227" s="1037"/>
      <c r="AN227" s="1037"/>
      <c r="AO227" s="1037"/>
      <c r="AP227" s="1037"/>
    </row>
    <row r="228" spans="1:42" s="226" customFormat="1">
      <c r="A228" s="2060"/>
      <c r="B228" s="1037"/>
      <c r="C228" s="1037"/>
      <c r="D228" s="1037"/>
      <c r="E228" s="1037"/>
      <c r="F228" s="1037"/>
      <c r="G228" s="1037"/>
      <c r="H228" s="1018"/>
      <c r="I228" s="1037"/>
      <c r="J228" s="1037"/>
      <c r="K228" s="1037"/>
      <c r="L228" s="1037"/>
      <c r="M228" s="1037"/>
      <c r="N228" s="1037"/>
      <c r="O228" s="1037"/>
      <c r="P228" s="1037"/>
      <c r="Q228" s="1037"/>
      <c r="R228" s="1037"/>
      <c r="S228" s="1037"/>
      <c r="T228" s="1037"/>
      <c r="U228" s="1037"/>
      <c r="V228" s="1037"/>
      <c r="W228" s="1037"/>
      <c r="X228" s="1037"/>
      <c r="Y228" s="1037"/>
      <c r="Z228" s="1037"/>
      <c r="AA228" s="1037"/>
      <c r="AB228" s="1037"/>
      <c r="AC228" s="1037"/>
      <c r="AD228" s="1037"/>
      <c r="AE228" s="1037"/>
      <c r="AF228" s="1037"/>
      <c r="AG228" s="1037"/>
      <c r="AH228" s="1037"/>
      <c r="AI228" s="1037"/>
      <c r="AJ228" s="1037"/>
      <c r="AK228" s="1037"/>
      <c r="AL228" s="1037"/>
      <c r="AM228" s="1037"/>
      <c r="AN228" s="1037"/>
      <c r="AO228" s="1037"/>
      <c r="AP228" s="1037"/>
    </row>
    <row r="229" spans="1:42" s="226" customFormat="1">
      <c r="A229" s="2060"/>
      <c r="B229" s="1037"/>
      <c r="C229" s="1037"/>
      <c r="D229" s="1037"/>
      <c r="E229" s="1037"/>
      <c r="F229" s="1037"/>
      <c r="G229" s="1037"/>
      <c r="H229" s="1018"/>
      <c r="I229" s="1037"/>
      <c r="J229" s="1037"/>
      <c r="K229" s="1037"/>
      <c r="L229" s="1037"/>
      <c r="M229" s="1037"/>
      <c r="N229" s="1037"/>
      <c r="O229" s="1037"/>
      <c r="P229" s="1037"/>
      <c r="Q229" s="1037"/>
      <c r="R229" s="1037"/>
      <c r="S229" s="1037"/>
      <c r="T229" s="1037"/>
      <c r="U229" s="1037"/>
      <c r="V229" s="1037"/>
      <c r="W229" s="1037"/>
      <c r="X229" s="1037"/>
      <c r="Y229" s="1037"/>
      <c r="Z229" s="1037"/>
      <c r="AA229" s="1037"/>
      <c r="AB229" s="1037"/>
      <c r="AC229" s="1037"/>
      <c r="AD229" s="1037"/>
      <c r="AE229" s="1037"/>
      <c r="AF229" s="1037"/>
      <c r="AG229" s="1037"/>
      <c r="AH229" s="1037"/>
      <c r="AI229" s="1037"/>
      <c r="AJ229" s="1037"/>
      <c r="AK229" s="1037"/>
      <c r="AL229" s="1037"/>
      <c r="AM229" s="1037"/>
      <c r="AN229" s="1037"/>
      <c r="AO229" s="1037"/>
      <c r="AP229" s="1037"/>
    </row>
    <row r="230" spans="1:42" s="226" customFormat="1">
      <c r="A230" s="2060"/>
      <c r="B230" s="1037"/>
      <c r="C230" s="1037"/>
      <c r="D230" s="1037"/>
      <c r="E230" s="1037"/>
      <c r="F230" s="1037"/>
      <c r="G230" s="1037"/>
      <c r="H230" s="1018"/>
      <c r="I230" s="1037"/>
      <c r="J230" s="1037"/>
      <c r="K230" s="1037"/>
      <c r="L230" s="1037"/>
      <c r="M230" s="1037"/>
      <c r="N230" s="1037"/>
      <c r="O230" s="1037"/>
      <c r="P230" s="1037"/>
      <c r="Q230" s="1037"/>
      <c r="R230" s="1037"/>
      <c r="S230" s="1037"/>
      <c r="T230" s="1037"/>
      <c r="U230" s="1037"/>
      <c r="V230" s="1037"/>
      <c r="W230" s="1037"/>
      <c r="X230" s="1037"/>
      <c r="Y230" s="1037"/>
      <c r="Z230" s="1037"/>
      <c r="AA230" s="1037"/>
      <c r="AB230" s="1037"/>
      <c r="AC230" s="1037"/>
      <c r="AD230" s="1037"/>
      <c r="AE230" s="1037"/>
      <c r="AF230" s="1037"/>
      <c r="AG230" s="1037"/>
      <c r="AH230" s="1037"/>
      <c r="AI230" s="1037"/>
      <c r="AJ230" s="1037"/>
      <c r="AK230" s="1037"/>
      <c r="AL230" s="1037"/>
      <c r="AM230" s="1037"/>
      <c r="AN230" s="1037"/>
      <c r="AO230" s="1037"/>
      <c r="AP230" s="1037"/>
    </row>
    <row r="231" spans="1:42" s="226" customFormat="1">
      <c r="A231" s="2060"/>
      <c r="B231" s="1037"/>
      <c r="C231" s="1037"/>
      <c r="D231" s="1037"/>
      <c r="E231" s="1037"/>
      <c r="F231" s="1037"/>
      <c r="G231" s="1037"/>
      <c r="H231" s="1018"/>
      <c r="I231" s="1037"/>
      <c r="J231" s="1037"/>
      <c r="K231" s="1037"/>
      <c r="L231" s="1037"/>
      <c r="M231" s="1037"/>
      <c r="N231" s="1037"/>
      <c r="O231" s="1037"/>
      <c r="P231" s="1037"/>
      <c r="Q231" s="1037"/>
      <c r="R231" s="1037"/>
      <c r="S231" s="1037"/>
      <c r="T231" s="1037"/>
      <c r="U231" s="1037"/>
      <c r="V231" s="1037"/>
      <c r="W231" s="1037"/>
      <c r="X231" s="1037"/>
      <c r="Y231" s="1037"/>
      <c r="Z231" s="1037"/>
      <c r="AA231" s="1037"/>
      <c r="AB231" s="1037"/>
      <c r="AC231" s="1037"/>
      <c r="AD231" s="1037"/>
      <c r="AE231" s="1037"/>
      <c r="AF231" s="1037"/>
      <c r="AG231" s="1037"/>
      <c r="AH231" s="1037"/>
      <c r="AI231" s="1037"/>
      <c r="AJ231" s="1037"/>
      <c r="AK231" s="1037"/>
      <c r="AL231" s="1037"/>
      <c r="AM231" s="1037"/>
      <c r="AN231" s="1037"/>
      <c r="AO231" s="1037"/>
      <c r="AP231" s="1037"/>
    </row>
    <row r="232" spans="1:42" s="226" customFormat="1">
      <c r="A232" s="2060"/>
      <c r="B232" s="1037"/>
      <c r="C232" s="1037"/>
      <c r="D232" s="1037"/>
      <c r="E232" s="1037"/>
      <c r="F232" s="1037"/>
      <c r="G232" s="1037"/>
      <c r="H232" s="1018"/>
      <c r="I232" s="1037"/>
      <c r="J232" s="1037"/>
      <c r="K232" s="1037"/>
      <c r="L232" s="1037"/>
      <c r="M232" s="1037"/>
      <c r="N232" s="1037"/>
      <c r="O232" s="1037"/>
      <c r="P232" s="1037"/>
      <c r="Q232" s="1037"/>
      <c r="R232" s="1037"/>
      <c r="S232" s="1037"/>
      <c r="T232" s="1037"/>
      <c r="U232" s="1037"/>
      <c r="V232" s="1037"/>
      <c r="W232" s="1037"/>
      <c r="X232" s="1037"/>
      <c r="Y232" s="1037"/>
      <c r="Z232" s="1037"/>
      <c r="AA232" s="1037"/>
      <c r="AB232" s="1037"/>
      <c r="AC232" s="1037"/>
      <c r="AD232" s="1037"/>
      <c r="AE232" s="1037"/>
      <c r="AF232" s="1037"/>
      <c r="AG232" s="1037"/>
      <c r="AH232" s="1037"/>
      <c r="AI232" s="1037"/>
      <c r="AJ232" s="1037"/>
      <c r="AK232" s="1037"/>
      <c r="AL232" s="1037"/>
      <c r="AM232" s="1037"/>
      <c r="AN232" s="1037"/>
      <c r="AO232" s="1037"/>
      <c r="AP232" s="1037"/>
    </row>
    <row r="233" spans="1:42" s="226" customFormat="1">
      <c r="A233" s="2060"/>
      <c r="B233" s="1037"/>
      <c r="C233" s="1037"/>
      <c r="D233" s="1037"/>
      <c r="E233" s="1037"/>
      <c r="F233" s="1037"/>
      <c r="G233" s="1037"/>
      <c r="H233" s="1018"/>
      <c r="I233" s="1037"/>
      <c r="J233" s="1037"/>
      <c r="K233" s="1037"/>
      <c r="L233" s="1037"/>
      <c r="M233" s="1037"/>
      <c r="N233" s="1037"/>
      <c r="O233" s="1037"/>
      <c r="P233" s="1037"/>
      <c r="Q233" s="1037"/>
      <c r="R233" s="1037"/>
      <c r="S233" s="1037"/>
      <c r="T233" s="1037"/>
      <c r="U233" s="1037"/>
      <c r="V233" s="1037"/>
      <c r="W233" s="1037"/>
      <c r="X233" s="1037"/>
      <c r="Y233" s="1037"/>
      <c r="Z233" s="1037"/>
      <c r="AA233" s="1037"/>
      <c r="AB233" s="1037"/>
      <c r="AC233" s="1037"/>
      <c r="AD233" s="1037"/>
      <c r="AE233" s="1037"/>
      <c r="AF233" s="1037"/>
      <c r="AG233" s="1037"/>
      <c r="AH233" s="1037"/>
      <c r="AI233" s="1037"/>
      <c r="AJ233" s="1037"/>
      <c r="AK233" s="1037"/>
      <c r="AL233" s="1037"/>
      <c r="AM233" s="1037"/>
      <c r="AN233" s="1037"/>
      <c r="AO233" s="1037"/>
      <c r="AP233" s="1037"/>
    </row>
    <row r="234" spans="1:42" s="226" customFormat="1">
      <c r="A234" s="2060"/>
      <c r="B234" s="1037"/>
      <c r="C234" s="1037"/>
      <c r="D234" s="1037"/>
      <c r="E234" s="1037"/>
      <c r="F234" s="1037"/>
      <c r="G234" s="1037"/>
      <c r="H234" s="1018"/>
      <c r="I234" s="1037"/>
      <c r="J234" s="1037"/>
      <c r="K234" s="1037"/>
      <c r="L234" s="1037"/>
      <c r="M234" s="1037"/>
      <c r="N234" s="1037"/>
      <c r="O234" s="1037"/>
      <c r="P234" s="1037"/>
      <c r="Q234" s="1037"/>
      <c r="R234" s="1037"/>
      <c r="S234" s="1037"/>
      <c r="T234" s="1037"/>
      <c r="U234" s="1037"/>
      <c r="V234" s="1037"/>
      <c r="W234" s="1037"/>
      <c r="X234" s="1037"/>
      <c r="Y234" s="1037"/>
      <c r="Z234" s="1037"/>
      <c r="AA234" s="1037"/>
      <c r="AB234" s="1037"/>
      <c r="AC234" s="1037"/>
      <c r="AD234" s="1037"/>
      <c r="AE234" s="1037"/>
      <c r="AF234" s="1037"/>
      <c r="AG234" s="1037"/>
      <c r="AH234" s="1037"/>
      <c r="AI234" s="1037"/>
      <c r="AJ234" s="1037"/>
      <c r="AK234" s="1037"/>
      <c r="AL234" s="1037"/>
      <c r="AM234" s="1037"/>
      <c r="AN234" s="1037"/>
      <c r="AO234" s="1037"/>
      <c r="AP234" s="1037"/>
    </row>
    <row r="235" spans="1:42" s="226" customFormat="1">
      <c r="A235" s="2060"/>
      <c r="B235" s="1037"/>
      <c r="C235" s="1037"/>
      <c r="D235" s="1037"/>
      <c r="E235" s="1037"/>
      <c r="F235" s="1037"/>
      <c r="G235" s="1037"/>
      <c r="H235" s="1018"/>
      <c r="I235" s="1037"/>
      <c r="J235" s="1037"/>
      <c r="K235" s="1037"/>
      <c r="L235" s="1037"/>
      <c r="M235" s="1037"/>
      <c r="N235" s="1037"/>
      <c r="O235" s="1037"/>
      <c r="P235" s="1037"/>
      <c r="Q235" s="1037"/>
      <c r="R235" s="1037"/>
      <c r="S235" s="1037"/>
      <c r="T235" s="1037"/>
      <c r="U235" s="1037"/>
      <c r="V235" s="1037"/>
      <c r="W235" s="1037"/>
      <c r="X235" s="1037"/>
      <c r="Y235" s="1037"/>
      <c r="Z235" s="1037"/>
      <c r="AA235" s="1037"/>
      <c r="AB235" s="1037"/>
      <c r="AC235" s="1037"/>
      <c r="AD235" s="1037"/>
      <c r="AE235" s="1037"/>
      <c r="AF235" s="1037"/>
      <c r="AG235" s="1037"/>
      <c r="AH235" s="1037"/>
      <c r="AI235" s="1037"/>
      <c r="AJ235" s="1037"/>
      <c r="AK235" s="1037"/>
      <c r="AL235" s="1037"/>
      <c r="AM235" s="1037"/>
      <c r="AN235" s="1037"/>
      <c r="AO235" s="1037"/>
      <c r="AP235" s="1037"/>
    </row>
    <row r="236" spans="1:42" s="226" customFormat="1">
      <c r="A236" s="2060"/>
      <c r="B236" s="1037"/>
      <c r="C236" s="1037"/>
      <c r="D236" s="1037"/>
      <c r="E236" s="1037"/>
      <c r="F236" s="1037"/>
      <c r="G236" s="1037"/>
      <c r="H236" s="1018"/>
      <c r="I236" s="1037"/>
      <c r="J236" s="1037"/>
      <c r="K236" s="1037"/>
      <c r="L236" s="1037"/>
      <c r="M236" s="1037"/>
      <c r="N236" s="1037"/>
      <c r="O236" s="1037"/>
      <c r="P236" s="1037"/>
      <c r="Q236" s="1037"/>
      <c r="R236" s="1037"/>
      <c r="S236" s="1037"/>
      <c r="T236" s="1037"/>
      <c r="U236" s="1037"/>
      <c r="V236" s="1037"/>
      <c r="W236" s="1037"/>
      <c r="X236" s="1037"/>
      <c r="Y236" s="1037"/>
      <c r="Z236" s="1037"/>
      <c r="AA236" s="1037"/>
      <c r="AB236" s="1037"/>
      <c r="AC236" s="1037"/>
      <c r="AD236" s="1037"/>
      <c r="AE236" s="1037"/>
      <c r="AF236" s="1037"/>
      <c r="AG236" s="1037"/>
      <c r="AH236" s="1037"/>
      <c r="AI236" s="1037"/>
      <c r="AJ236" s="1037"/>
      <c r="AK236" s="1037"/>
      <c r="AL236" s="1037"/>
      <c r="AM236" s="1037"/>
      <c r="AN236" s="1037"/>
      <c r="AO236" s="1037"/>
      <c r="AP236" s="1037"/>
    </row>
    <row r="237" spans="1:42" s="226" customFormat="1">
      <c r="A237" s="2060"/>
      <c r="B237" s="1037"/>
      <c r="C237" s="1037"/>
      <c r="D237" s="1037"/>
      <c r="E237" s="1037"/>
      <c r="F237" s="1037"/>
      <c r="G237" s="1037"/>
      <c r="H237" s="1018"/>
      <c r="I237" s="1037"/>
      <c r="J237" s="1037"/>
      <c r="K237" s="1037"/>
      <c r="L237" s="1037"/>
      <c r="M237" s="1037"/>
      <c r="N237" s="1037"/>
      <c r="O237" s="1037"/>
      <c r="P237" s="1037"/>
      <c r="Q237" s="1037"/>
      <c r="R237" s="1037"/>
      <c r="S237" s="1037"/>
      <c r="T237" s="1037"/>
      <c r="U237" s="1037"/>
      <c r="V237" s="1037"/>
      <c r="W237" s="1037"/>
      <c r="X237" s="1037"/>
      <c r="Y237" s="1037"/>
      <c r="Z237" s="1037"/>
      <c r="AA237" s="1037"/>
      <c r="AB237" s="1037"/>
      <c r="AC237" s="1037"/>
      <c r="AD237" s="1037"/>
      <c r="AE237" s="1037"/>
      <c r="AF237" s="1037"/>
      <c r="AG237" s="1037"/>
      <c r="AH237" s="1037"/>
      <c r="AI237" s="1037"/>
      <c r="AJ237" s="1037"/>
      <c r="AK237" s="1037"/>
      <c r="AL237" s="1037"/>
      <c r="AM237" s="1037"/>
      <c r="AN237" s="1037"/>
      <c r="AO237" s="1037"/>
      <c r="AP237" s="1037"/>
    </row>
    <row r="238" spans="1:42" s="226" customFormat="1">
      <c r="A238" s="2060"/>
      <c r="B238" s="1037"/>
      <c r="C238" s="1037"/>
      <c r="D238" s="1037"/>
      <c r="E238" s="1037"/>
      <c r="F238" s="1037"/>
      <c r="G238" s="1037"/>
      <c r="H238" s="1018"/>
      <c r="I238" s="1037"/>
      <c r="J238" s="1037"/>
      <c r="K238" s="1037"/>
      <c r="L238" s="1037"/>
      <c r="M238" s="1037"/>
      <c r="N238" s="1037"/>
      <c r="O238" s="1037"/>
      <c r="P238" s="1037"/>
      <c r="Q238" s="1037"/>
      <c r="R238" s="1037"/>
      <c r="S238" s="1037"/>
      <c r="T238" s="1037"/>
      <c r="U238" s="1037"/>
      <c r="V238" s="1037"/>
      <c r="W238" s="1037"/>
      <c r="X238" s="1037"/>
      <c r="Y238" s="1037"/>
      <c r="Z238" s="1037"/>
      <c r="AA238" s="1037"/>
      <c r="AB238" s="1037"/>
      <c r="AC238" s="1037"/>
      <c r="AD238" s="1037"/>
      <c r="AE238" s="1037"/>
      <c r="AF238" s="1037"/>
      <c r="AG238" s="1037"/>
      <c r="AH238" s="1037"/>
      <c r="AI238" s="1037"/>
      <c r="AJ238" s="1037"/>
      <c r="AK238" s="1037"/>
      <c r="AL238" s="1037"/>
      <c r="AM238" s="1037"/>
      <c r="AN238" s="1037"/>
      <c r="AO238" s="1037"/>
      <c r="AP238" s="1037"/>
    </row>
    <row r="239" spans="1:42" s="226" customFormat="1">
      <c r="A239" s="2060"/>
      <c r="B239" s="1037"/>
      <c r="C239" s="1037"/>
      <c r="D239" s="1037"/>
      <c r="E239" s="1037"/>
      <c r="F239" s="1037"/>
      <c r="G239" s="1037"/>
      <c r="H239" s="1018"/>
      <c r="I239" s="1037"/>
      <c r="J239" s="1037"/>
      <c r="K239" s="1037"/>
      <c r="L239" s="1037"/>
      <c r="M239" s="1037"/>
      <c r="N239" s="1037"/>
      <c r="O239" s="1037"/>
      <c r="P239" s="1037"/>
      <c r="Q239" s="1037"/>
      <c r="R239" s="1037"/>
      <c r="S239" s="1037"/>
      <c r="T239" s="1037"/>
      <c r="U239" s="1037"/>
      <c r="V239" s="1037"/>
      <c r="W239" s="1037"/>
      <c r="X239" s="1037"/>
      <c r="Y239" s="1037"/>
      <c r="Z239" s="1037"/>
      <c r="AA239" s="1037"/>
      <c r="AB239" s="1037"/>
      <c r="AC239" s="1037"/>
      <c r="AD239" s="1037"/>
      <c r="AE239" s="1037"/>
      <c r="AF239" s="1037"/>
      <c r="AG239" s="1037"/>
      <c r="AH239" s="1037"/>
      <c r="AI239" s="1037"/>
      <c r="AJ239" s="1037"/>
      <c r="AK239" s="1037"/>
      <c r="AL239" s="1037"/>
      <c r="AM239" s="1037"/>
      <c r="AN239" s="1037"/>
      <c r="AO239" s="1037"/>
      <c r="AP239" s="1037"/>
    </row>
    <row r="240" spans="1:42" s="226" customFormat="1">
      <c r="A240" s="2060"/>
      <c r="B240" s="1037"/>
      <c r="C240" s="1037"/>
      <c r="D240" s="1037"/>
      <c r="E240" s="1037"/>
      <c r="F240" s="1037"/>
      <c r="G240" s="1037"/>
      <c r="H240" s="1018"/>
      <c r="I240" s="1037"/>
      <c r="J240" s="1037"/>
      <c r="K240" s="1037"/>
      <c r="L240" s="1037"/>
      <c r="M240" s="1037"/>
      <c r="N240" s="1037"/>
      <c r="O240" s="1037"/>
      <c r="P240" s="1037"/>
      <c r="Q240" s="1037"/>
      <c r="R240" s="1037"/>
      <c r="S240" s="1037"/>
      <c r="T240" s="1037"/>
      <c r="U240" s="1037"/>
      <c r="V240" s="1037"/>
      <c r="W240" s="1037"/>
      <c r="X240" s="1037"/>
      <c r="Y240" s="1037"/>
      <c r="Z240" s="1037"/>
      <c r="AA240" s="1037"/>
      <c r="AB240" s="1037"/>
      <c r="AC240" s="1037"/>
      <c r="AD240" s="1037"/>
      <c r="AE240" s="1037"/>
      <c r="AF240" s="1037"/>
      <c r="AG240" s="1037"/>
      <c r="AH240" s="1037"/>
      <c r="AI240" s="1037"/>
      <c r="AJ240" s="1037"/>
      <c r="AK240" s="1037"/>
      <c r="AL240" s="1037"/>
      <c r="AM240" s="1037"/>
      <c r="AN240" s="1037"/>
      <c r="AO240" s="1037"/>
      <c r="AP240" s="1037"/>
    </row>
    <row r="241" spans="1:42" s="226" customFormat="1">
      <c r="A241" s="2060"/>
      <c r="B241" s="1037"/>
      <c r="C241" s="1037"/>
      <c r="D241" s="1037"/>
      <c r="E241" s="1037"/>
      <c r="F241" s="1037"/>
      <c r="G241" s="1037"/>
      <c r="H241" s="1018"/>
      <c r="I241" s="1037"/>
      <c r="J241" s="1037"/>
      <c r="K241" s="1037"/>
      <c r="L241" s="1037"/>
      <c r="M241" s="1037"/>
      <c r="N241" s="1037"/>
      <c r="O241" s="1037"/>
      <c r="P241" s="1037"/>
      <c r="Q241" s="1037"/>
      <c r="R241" s="1037"/>
      <c r="S241" s="1037"/>
      <c r="T241" s="1037"/>
      <c r="U241" s="1037"/>
      <c r="V241" s="1037"/>
      <c r="W241" s="1037"/>
      <c r="X241" s="1037"/>
      <c r="Y241" s="1037"/>
      <c r="Z241" s="1037"/>
      <c r="AA241" s="1037"/>
      <c r="AB241" s="1037"/>
      <c r="AC241" s="1037"/>
      <c r="AD241" s="1037"/>
      <c r="AE241" s="1037"/>
      <c r="AF241" s="1037"/>
      <c r="AG241" s="1037"/>
      <c r="AH241" s="1037"/>
      <c r="AI241" s="1037"/>
      <c r="AJ241" s="1037"/>
      <c r="AK241" s="1037"/>
      <c r="AL241" s="1037"/>
      <c r="AM241" s="1037"/>
      <c r="AN241" s="1037"/>
      <c r="AO241" s="1037"/>
      <c r="AP241" s="1037"/>
    </row>
    <row r="242" spans="1:42" s="226" customFormat="1">
      <c r="A242" s="2060"/>
      <c r="B242" s="1037"/>
      <c r="C242" s="1037"/>
      <c r="D242" s="1037"/>
      <c r="E242" s="1037"/>
      <c r="F242" s="1037"/>
      <c r="G242" s="1037"/>
      <c r="H242" s="1018"/>
      <c r="I242" s="1037"/>
      <c r="J242" s="1037"/>
      <c r="K242" s="1037"/>
      <c r="L242" s="1037"/>
      <c r="M242" s="1037"/>
      <c r="N242" s="1037"/>
      <c r="O242" s="1037"/>
      <c r="P242" s="1037"/>
      <c r="Q242" s="1037"/>
      <c r="R242" s="1037"/>
      <c r="S242" s="1037"/>
      <c r="T242" s="1037"/>
      <c r="U242" s="1037"/>
      <c r="V242" s="1037"/>
      <c r="W242" s="1037"/>
      <c r="X242" s="1037"/>
      <c r="Y242" s="1037"/>
      <c r="Z242" s="1037"/>
      <c r="AA242" s="1037"/>
      <c r="AB242" s="1037"/>
      <c r="AC242" s="1037"/>
      <c r="AD242" s="1037"/>
      <c r="AE242" s="1037"/>
      <c r="AF242" s="1037"/>
      <c r="AG242" s="1037"/>
      <c r="AH242" s="1037"/>
      <c r="AI242" s="1037"/>
      <c r="AJ242" s="1037"/>
      <c r="AK242" s="1037"/>
      <c r="AL242" s="1037"/>
      <c r="AM242" s="1037"/>
      <c r="AN242" s="1037"/>
      <c r="AO242" s="1037"/>
      <c r="AP242" s="1037"/>
    </row>
    <row r="243" spans="1:42" s="226" customFormat="1">
      <c r="A243" s="2060"/>
      <c r="B243" s="1037"/>
      <c r="C243" s="1037"/>
      <c r="D243" s="1037"/>
      <c r="E243" s="1037"/>
      <c r="F243" s="1037"/>
      <c r="G243" s="1037"/>
      <c r="H243" s="1018"/>
      <c r="I243" s="1037"/>
      <c r="J243" s="1037"/>
      <c r="K243" s="1037"/>
      <c r="L243" s="1037"/>
      <c r="M243" s="1037"/>
      <c r="N243" s="1037"/>
      <c r="O243" s="1037"/>
      <c r="P243" s="1037"/>
      <c r="Q243" s="1037"/>
      <c r="R243" s="1037"/>
      <c r="S243" s="1037"/>
      <c r="T243" s="1037"/>
      <c r="U243" s="1037"/>
      <c r="V243" s="1037"/>
      <c r="W243" s="1037"/>
      <c r="X243" s="1037"/>
      <c r="Y243" s="1037"/>
      <c r="Z243" s="1037"/>
      <c r="AA243" s="1037"/>
      <c r="AB243" s="1037"/>
      <c r="AC243" s="1037"/>
      <c r="AD243" s="1037"/>
      <c r="AE243" s="1037"/>
      <c r="AF243" s="1037"/>
      <c r="AG243" s="1037"/>
      <c r="AH243" s="1037"/>
      <c r="AI243" s="1037"/>
      <c r="AJ243" s="1037"/>
      <c r="AK243" s="1037"/>
      <c r="AL243" s="1037"/>
      <c r="AM243" s="1037"/>
      <c r="AN243" s="1037"/>
      <c r="AO243" s="1037"/>
      <c r="AP243" s="1037"/>
    </row>
    <row r="244" spans="1:42" s="226" customFormat="1">
      <c r="A244" s="2060"/>
      <c r="B244" s="1037"/>
      <c r="C244" s="1037"/>
      <c r="D244" s="1037"/>
      <c r="E244" s="1037"/>
      <c r="F244" s="1037"/>
      <c r="G244" s="1037"/>
      <c r="H244" s="1018"/>
      <c r="I244" s="1037"/>
      <c r="J244" s="1037"/>
      <c r="K244" s="1037"/>
      <c r="L244" s="1037"/>
      <c r="M244" s="1037"/>
      <c r="N244" s="1037"/>
      <c r="O244" s="1037"/>
      <c r="P244" s="1037"/>
      <c r="Q244" s="1037"/>
      <c r="R244" s="1037"/>
      <c r="S244" s="1037"/>
      <c r="T244" s="1037"/>
      <c r="U244" s="1037"/>
      <c r="V244" s="1037"/>
      <c r="W244" s="1037"/>
      <c r="X244" s="1037"/>
      <c r="Y244" s="1037"/>
      <c r="Z244" s="1037"/>
      <c r="AA244" s="1037"/>
      <c r="AB244" s="1037"/>
      <c r="AC244" s="1037"/>
      <c r="AD244" s="1037"/>
      <c r="AE244" s="1037"/>
      <c r="AF244" s="1037"/>
      <c r="AG244" s="1037"/>
      <c r="AH244" s="1037"/>
      <c r="AI244" s="1037"/>
      <c r="AJ244" s="1037"/>
      <c r="AK244" s="1037"/>
      <c r="AL244" s="1037"/>
      <c r="AM244" s="1037"/>
      <c r="AN244" s="1037"/>
      <c r="AO244" s="1037"/>
      <c r="AP244" s="1037"/>
    </row>
    <row r="245" spans="1:42" s="226" customFormat="1">
      <c r="A245" s="2060"/>
      <c r="B245" s="1037"/>
      <c r="C245" s="1037"/>
      <c r="D245" s="1037"/>
      <c r="E245" s="1037"/>
      <c r="F245" s="1037"/>
      <c r="G245" s="1037"/>
      <c r="H245" s="1018"/>
      <c r="I245" s="1037"/>
      <c r="J245" s="1037"/>
      <c r="K245" s="1037"/>
      <c r="L245" s="1037"/>
      <c r="M245" s="1037"/>
      <c r="N245" s="1037"/>
      <c r="O245" s="1037"/>
      <c r="P245" s="1037"/>
      <c r="Q245" s="1037"/>
      <c r="R245" s="1037"/>
      <c r="S245" s="1037"/>
      <c r="T245" s="1037"/>
      <c r="U245" s="1037"/>
      <c r="V245" s="1037"/>
      <c r="W245" s="1037"/>
      <c r="X245" s="1037"/>
      <c r="Y245" s="1037"/>
      <c r="Z245" s="1037"/>
      <c r="AA245" s="1037"/>
      <c r="AB245" s="1037"/>
      <c r="AC245" s="1037"/>
      <c r="AD245" s="1037"/>
      <c r="AE245" s="1037"/>
      <c r="AF245" s="1037"/>
      <c r="AG245" s="1037"/>
      <c r="AH245" s="1037"/>
      <c r="AI245" s="1037"/>
      <c r="AJ245" s="1037"/>
      <c r="AK245" s="1037"/>
      <c r="AL245" s="1037"/>
      <c r="AM245" s="1037"/>
      <c r="AN245" s="1037"/>
      <c r="AO245" s="1037"/>
      <c r="AP245" s="1037"/>
    </row>
    <row r="246" spans="1:42" s="226" customFormat="1">
      <c r="A246" s="2060"/>
      <c r="B246" s="1037"/>
      <c r="C246" s="1037"/>
      <c r="D246" s="1037"/>
      <c r="E246" s="1037"/>
      <c r="F246" s="1037"/>
      <c r="G246" s="1037"/>
      <c r="H246" s="1018"/>
      <c r="I246" s="1037"/>
      <c r="J246" s="1037"/>
      <c r="K246" s="1037"/>
      <c r="L246" s="1037"/>
      <c r="M246" s="1037"/>
      <c r="N246" s="1037"/>
      <c r="O246" s="1037"/>
      <c r="P246" s="1037"/>
      <c r="Q246" s="1037"/>
      <c r="R246" s="1037"/>
      <c r="S246" s="1037"/>
      <c r="T246" s="1037"/>
      <c r="U246" s="1037"/>
      <c r="V246" s="1037"/>
      <c r="W246" s="1037"/>
      <c r="X246" s="1037"/>
      <c r="Y246" s="1037"/>
      <c r="Z246" s="1037"/>
      <c r="AA246" s="1037"/>
      <c r="AB246" s="1037"/>
      <c r="AC246" s="1037"/>
      <c r="AD246" s="1037"/>
      <c r="AE246" s="1037"/>
      <c r="AF246" s="1037"/>
      <c r="AG246" s="1037"/>
      <c r="AH246" s="1037"/>
      <c r="AI246" s="1037"/>
      <c r="AJ246" s="1037"/>
      <c r="AK246" s="1037"/>
      <c r="AL246" s="1037"/>
      <c r="AM246" s="1037"/>
      <c r="AN246" s="1037"/>
      <c r="AO246" s="1037"/>
      <c r="AP246" s="1037"/>
    </row>
    <row r="247" spans="1:42" s="226" customFormat="1">
      <c r="A247" s="2060"/>
      <c r="B247" s="1037"/>
      <c r="C247" s="1037"/>
      <c r="D247" s="1037"/>
      <c r="E247" s="1037"/>
      <c r="F247" s="1037"/>
      <c r="G247" s="1037"/>
      <c r="H247" s="1018"/>
      <c r="I247" s="1037"/>
      <c r="J247" s="1037"/>
      <c r="K247" s="1037"/>
      <c r="L247" s="1037"/>
      <c r="M247" s="1037"/>
      <c r="N247" s="1037"/>
      <c r="O247" s="1037"/>
      <c r="P247" s="1037"/>
      <c r="Q247" s="1037"/>
      <c r="R247" s="1037"/>
      <c r="S247" s="1037"/>
      <c r="T247" s="1037"/>
      <c r="U247" s="1037"/>
      <c r="V247" s="1037"/>
      <c r="W247" s="1037"/>
      <c r="X247" s="1037"/>
      <c r="Y247" s="1037"/>
      <c r="Z247" s="1037"/>
      <c r="AA247" s="1037"/>
      <c r="AB247" s="1037"/>
      <c r="AC247" s="1037"/>
      <c r="AD247" s="1037"/>
      <c r="AE247" s="1037"/>
      <c r="AF247" s="1037"/>
      <c r="AG247" s="1037"/>
      <c r="AH247" s="1037"/>
      <c r="AI247" s="1037"/>
      <c r="AJ247" s="1037"/>
      <c r="AK247" s="1037"/>
      <c r="AL247" s="1037"/>
      <c r="AM247" s="1037"/>
      <c r="AN247" s="1037"/>
      <c r="AO247" s="1037"/>
      <c r="AP247" s="1037"/>
    </row>
    <row r="248" spans="1:42" s="226" customFormat="1">
      <c r="A248" s="2060"/>
      <c r="B248" s="1037"/>
      <c r="C248" s="1037"/>
      <c r="D248" s="1037"/>
      <c r="E248" s="1037"/>
      <c r="F248" s="1037"/>
      <c r="G248" s="1037"/>
      <c r="H248" s="1018"/>
      <c r="I248" s="1037"/>
      <c r="J248" s="1037"/>
      <c r="K248" s="1037"/>
      <c r="L248" s="1037"/>
      <c r="M248" s="1037"/>
      <c r="N248" s="1037"/>
      <c r="O248" s="1037"/>
      <c r="P248" s="1037"/>
      <c r="Q248" s="1037"/>
      <c r="R248" s="1037"/>
      <c r="S248" s="1037"/>
      <c r="T248" s="1037"/>
      <c r="U248" s="1037"/>
      <c r="V248" s="1037"/>
      <c r="W248" s="1037"/>
      <c r="X248" s="1037"/>
      <c r="Y248" s="1037"/>
      <c r="Z248" s="1037"/>
      <c r="AA248" s="1037"/>
      <c r="AB248" s="1037"/>
      <c r="AC248" s="1037"/>
      <c r="AD248" s="1037"/>
      <c r="AE248" s="1037"/>
      <c r="AF248" s="1037"/>
      <c r="AG248" s="1037"/>
      <c r="AH248" s="1037"/>
      <c r="AI248" s="1037"/>
      <c r="AJ248" s="1037"/>
      <c r="AK248" s="1037"/>
      <c r="AL248" s="1037"/>
      <c r="AM248" s="1037"/>
      <c r="AN248" s="1037"/>
      <c r="AO248" s="1037"/>
      <c r="AP248" s="1037"/>
    </row>
    <row r="249" spans="1:42" s="226" customFormat="1">
      <c r="A249" s="2060"/>
      <c r="B249" s="1037"/>
      <c r="C249" s="1037"/>
      <c r="D249" s="1037"/>
      <c r="E249" s="1037"/>
      <c r="F249" s="1037"/>
      <c r="G249" s="1037"/>
      <c r="H249" s="1018"/>
      <c r="I249" s="1037"/>
      <c r="J249" s="1037"/>
      <c r="K249" s="1037"/>
      <c r="L249" s="1037"/>
      <c r="M249" s="1037"/>
      <c r="N249" s="1037"/>
      <c r="O249" s="1037"/>
      <c r="P249" s="1037"/>
      <c r="Q249" s="1037"/>
      <c r="R249" s="1037"/>
      <c r="S249" s="1037"/>
      <c r="T249" s="1037"/>
      <c r="U249" s="1037"/>
      <c r="V249" s="1037"/>
      <c r="W249" s="1037"/>
      <c r="X249" s="1037"/>
      <c r="Y249" s="1037"/>
      <c r="Z249" s="1037"/>
      <c r="AA249" s="1037"/>
      <c r="AB249" s="1037"/>
      <c r="AC249" s="1037"/>
      <c r="AD249" s="1037"/>
      <c r="AE249" s="1037"/>
      <c r="AF249" s="1037"/>
      <c r="AG249" s="1037"/>
      <c r="AH249" s="1037"/>
      <c r="AI249" s="1037"/>
      <c r="AJ249" s="1037"/>
      <c r="AK249" s="1037"/>
      <c r="AL249" s="1037"/>
      <c r="AM249" s="1037"/>
      <c r="AN249" s="1037"/>
      <c r="AO249" s="1037"/>
      <c r="AP249" s="1037"/>
    </row>
    <row r="250" spans="1:42" s="226" customFormat="1">
      <c r="A250" s="2060"/>
      <c r="B250" s="1037"/>
      <c r="C250" s="1037"/>
      <c r="D250" s="1037"/>
      <c r="E250" s="1037"/>
      <c r="F250" s="1037"/>
      <c r="G250" s="1037"/>
      <c r="H250" s="1018"/>
      <c r="I250" s="1037"/>
      <c r="J250" s="1037"/>
      <c r="K250" s="1037"/>
      <c r="L250" s="1037"/>
      <c r="M250" s="1037"/>
      <c r="N250" s="1037"/>
      <c r="O250" s="1037"/>
      <c r="P250" s="1037"/>
      <c r="Q250" s="1037"/>
      <c r="R250" s="1037"/>
      <c r="S250" s="1037"/>
      <c r="T250" s="1037"/>
      <c r="U250" s="1037"/>
      <c r="V250" s="1037"/>
      <c r="W250" s="1037"/>
      <c r="X250" s="1037"/>
      <c r="Y250" s="1037"/>
      <c r="Z250" s="1037"/>
      <c r="AA250" s="1037"/>
      <c r="AB250" s="1037"/>
      <c r="AC250" s="1037"/>
      <c r="AD250" s="1037"/>
      <c r="AE250" s="1037"/>
      <c r="AF250" s="1037"/>
      <c r="AG250" s="1037"/>
      <c r="AH250" s="1037"/>
      <c r="AI250" s="1037"/>
      <c r="AJ250" s="1037"/>
      <c r="AK250" s="1037"/>
      <c r="AL250" s="1037"/>
      <c r="AM250" s="1037"/>
      <c r="AN250" s="1037"/>
      <c r="AO250" s="1037"/>
      <c r="AP250" s="1037"/>
    </row>
    <row r="251" spans="1:42" s="226" customFormat="1">
      <c r="A251" s="2060"/>
      <c r="B251" s="1037"/>
      <c r="C251" s="1037"/>
      <c r="D251" s="1037"/>
      <c r="E251" s="1037"/>
      <c r="F251" s="1037"/>
      <c r="G251" s="1037"/>
      <c r="H251" s="1018"/>
      <c r="I251" s="1037"/>
      <c r="J251" s="1037"/>
      <c r="K251" s="1037"/>
      <c r="L251" s="1037"/>
      <c r="M251" s="1037"/>
      <c r="N251" s="1037"/>
      <c r="O251" s="1037"/>
      <c r="P251" s="1037"/>
      <c r="Q251" s="1037"/>
      <c r="R251" s="1037"/>
      <c r="S251" s="1037"/>
      <c r="T251" s="1037"/>
      <c r="U251" s="1037"/>
      <c r="V251" s="1037"/>
      <c r="W251" s="1037"/>
      <c r="X251" s="1037"/>
      <c r="Y251" s="1037"/>
      <c r="Z251" s="1037"/>
      <c r="AA251" s="1037"/>
      <c r="AB251" s="1037"/>
      <c r="AC251" s="1037"/>
      <c r="AD251" s="1037"/>
      <c r="AE251" s="1037"/>
      <c r="AF251" s="1037"/>
      <c r="AG251" s="1037"/>
      <c r="AH251" s="1037"/>
      <c r="AI251" s="1037"/>
      <c r="AJ251" s="1037"/>
      <c r="AK251" s="1037"/>
      <c r="AL251" s="1037"/>
      <c r="AM251" s="1037"/>
      <c r="AN251" s="1037"/>
      <c r="AO251" s="1037"/>
      <c r="AP251" s="1037"/>
    </row>
    <row r="252" spans="1:42" s="226" customFormat="1">
      <c r="A252" s="2060"/>
      <c r="B252" s="1037"/>
      <c r="C252" s="1037"/>
      <c r="D252" s="1037"/>
      <c r="E252" s="1037"/>
      <c r="F252" s="1037"/>
      <c r="G252" s="1037"/>
      <c r="H252" s="1018"/>
      <c r="I252" s="1037"/>
      <c r="J252" s="1037"/>
      <c r="K252" s="1037"/>
      <c r="L252" s="1037"/>
      <c r="M252" s="1037"/>
      <c r="N252" s="1037"/>
      <c r="O252" s="1037"/>
      <c r="P252" s="1037"/>
      <c r="Q252" s="1037"/>
      <c r="R252" s="1037"/>
      <c r="S252" s="1037"/>
      <c r="T252" s="1037"/>
      <c r="U252" s="1037"/>
      <c r="V252" s="1037"/>
      <c r="W252" s="1037"/>
      <c r="X252" s="1037"/>
      <c r="Y252" s="1037"/>
      <c r="Z252" s="1037"/>
      <c r="AA252" s="1037"/>
      <c r="AB252" s="1037"/>
      <c r="AC252" s="1037"/>
      <c r="AD252" s="1037"/>
      <c r="AE252" s="1037"/>
      <c r="AF252" s="1037"/>
      <c r="AG252" s="1037"/>
      <c r="AH252" s="1037"/>
      <c r="AI252" s="1037"/>
      <c r="AJ252" s="1037"/>
      <c r="AK252" s="1037"/>
      <c r="AL252" s="1037"/>
      <c r="AM252" s="1037"/>
      <c r="AN252" s="1037"/>
      <c r="AO252" s="1037"/>
      <c r="AP252" s="1037"/>
    </row>
    <row r="253" spans="1:42" s="226" customFormat="1">
      <c r="A253" s="2060"/>
      <c r="B253" s="1037"/>
      <c r="C253" s="1037"/>
      <c r="D253" s="1037"/>
      <c r="E253" s="1037"/>
      <c r="F253" s="1037"/>
      <c r="G253" s="1037"/>
      <c r="H253" s="1018"/>
      <c r="I253" s="1037"/>
      <c r="J253" s="1037"/>
      <c r="K253" s="1037"/>
      <c r="L253" s="1037"/>
      <c r="M253" s="1037"/>
      <c r="N253" s="1037"/>
      <c r="O253" s="1037"/>
      <c r="P253" s="1037"/>
      <c r="Q253" s="1037"/>
      <c r="R253" s="1037"/>
      <c r="S253" s="1037"/>
      <c r="T253" s="1037"/>
      <c r="U253" s="1037"/>
      <c r="V253" s="1037"/>
      <c r="W253" s="1037"/>
      <c r="X253" s="1037"/>
      <c r="Y253" s="1037"/>
      <c r="Z253" s="1037"/>
      <c r="AA253" s="1037"/>
      <c r="AB253" s="1037"/>
      <c r="AC253" s="1037"/>
      <c r="AD253" s="1037"/>
      <c r="AE253" s="1037"/>
      <c r="AF253" s="1037"/>
      <c r="AG253" s="1037"/>
      <c r="AH253" s="1037"/>
      <c r="AI253" s="1037"/>
      <c r="AJ253" s="1037"/>
      <c r="AK253" s="1037"/>
      <c r="AL253" s="1037"/>
      <c r="AM253" s="1037"/>
      <c r="AN253" s="1037"/>
      <c r="AO253" s="1037"/>
      <c r="AP253" s="1037"/>
    </row>
    <row r="254" spans="1:42" s="226" customFormat="1">
      <c r="A254" s="2060"/>
      <c r="B254" s="1037"/>
      <c r="C254" s="1037"/>
      <c r="D254" s="1037"/>
      <c r="E254" s="1037"/>
      <c r="F254" s="1037"/>
      <c r="G254" s="1037"/>
      <c r="H254" s="1018"/>
      <c r="I254" s="1037"/>
      <c r="J254" s="1037"/>
      <c r="K254" s="1037"/>
      <c r="L254" s="1037"/>
      <c r="M254" s="1037"/>
      <c r="N254" s="1037"/>
      <c r="O254" s="1037"/>
      <c r="P254" s="1037"/>
      <c r="Q254" s="1037"/>
      <c r="R254" s="1037"/>
      <c r="S254" s="1037"/>
      <c r="T254" s="1037"/>
      <c r="U254" s="1037"/>
      <c r="V254" s="1037"/>
      <c r="W254" s="1037"/>
      <c r="X254" s="1037"/>
      <c r="Y254" s="1037"/>
      <c r="Z254" s="1037"/>
      <c r="AA254" s="1037"/>
      <c r="AB254" s="1037"/>
      <c r="AC254" s="1037"/>
      <c r="AD254" s="1037"/>
      <c r="AE254" s="1037"/>
      <c r="AF254" s="1037"/>
      <c r="AG254" s="1037"/>
      <c r="AH254" s="1037"/>
      <c r="AI254" s="1037"/>
      <c r="AJ254" s="1037"/>
      <c r="AK254" s="1037"/>
      <c r="AL254" s="1037"/>
      <c r="AM254" s="1037"/>
      <c r="AN254" s="1037"/>
      <c r="AO254" s="1037"/>
      <c r="AP254" s="1037"/>
    </row>
    <row r="255" spans="1:42" s="226" customFormat="1">
      <c r="A255" s="2060"/>
      <c r="B255" s="1037"/>
      <c r="C255" s="1037"/>
      <c r="D255" s="1037"/>
      <c r="E255" s="1037"/>
      <c r="F255" s="1037"/>
      <c r="G255" s="1037"/>
      <c r="H255" s="1018"/>
      <c r="I255" s="1037"/>
      <c r="J255" s="1037"/>
      <c r="K255" s="1037"/>
      <c r="L255" s="1037"/>
      <c r="M255" s="1037"/>
      <c r="N255" s="1037"/>
      <c r="O255" s="1037"/>
      <c r="P255" s="1037"/>
      <c r="Q255" s="1037"/>
      <c r="R255" s="1037"/>
      <c r="S255" s="1037"/>
      <c r="T255" s="1037"/>
      <c r="U255" s="1037"/>
      <c r="V255" s="1037"/>
      <c r="W255" s="1037"/>
      <c r="X255" s="1037"/>
      <c r="Y255" s="1037"/>
      <c r="Z255" s="1037"/>
      <c r="AA255" s="1037"/>
      <c r="AB255" s="1037"/>
      <c r="AC255" s="1037"/>
      <c r="AD255" s="1037"/>
      <c r="AE255" s="1037"/>
      <c r="AF255" s="1037"/>
      <c r="AG255" s="1037"/>
      <c r="AH255" s="1037"/>
      <c r="AI255" s="1037"/>
      <c r="AJ255" s="1037"/>
      <c r="AK255" s="1037"/>
      <c r="AL255" s="1037"/>
      <c r="AM255" s="1037"/>
      <c r="AN255" s="1037"/>
      <c r="AO255" s="1037"/>
      <c r="AP255" s="1037"/>
    </row>
    <row r="256" spans="1:42" s="226" customFormat="1">
      <c r="A256" s="2060"/>
      <c r="B256" s="1037"/>
      <c r="C256" s="1037"/>
      <c r="D256" s="1037"/>
      <c r="E256" s="1037"/>
      <c r="F256" s="1037"/>
      <c r="G256" s="1037"/>
      <c r="H256" s="1018"/>
      <c r="I256" s="1037"/>
      <c r="J256" s="1037"/>
      <c r="K256" s="1037"/>
      <c r="L256" s="1037"/>
      <c r="M256" s="1037"/>
      <c r="N256" s="1037"/>
      <c r="O256" s="1037"/>
      <c r="P256" s="1037"/>
      <c r="Q256" s="1037"/>
      <c r="R256" s="1037"/>
      <c r="S256" s="1037"/>
      <c r="T256" s="1037"/>
      <c r="U256" s="1037"/>
      <c r="V256" s="1037"/>
      <c r="W256" s="1037"/>
      <c r="X256" s="1037"/>
      <c r="Y256" s="1037"/>
      <c r="Z256" s="1037"/>
      <c r="AA256" s="1037"/>
      <c r="AB256" s="1037"/>
      <c r="AC256" s="1037"/>
      <c r="AD256" s="1037"/>
      <c r="AE256" s="1037"/>
      <c r="AF256" s="1037"/>
      <c r="AG256" s="1037"/>
      <c r="AH256" s="1037"/>
      <c r="AI256" s="1037"/>
      <c r="AJ256" s="1037"/>
      <c r="AK256" s="1037"/>
      <c r="AL256" s="1037"/>
      <c r="AM256" s="1037"/>
      <c r="AN256" s="1037"/>
      <c r="AO256" s="1037"/>
      <c r="AP256" s="1037"/>
    </row>
    <row r="257" spans="1:42" s="226" customFormat="1">
      <c r="A257" s="2060"/>
      <c r="B257" s="1037"/>
      <c r="C257" s="1037"/>
      <c r="D257" s="1037"/>
      <c r="E257" s="1037"/>
      <c r="F257" s="1037"/>
      <c r="G257" s="1037"/>
      <c r="H257" s="1018"/>
      <c r="I257" s="1037"/>
      <c r="J257" s="1037"/>
      <c r="K257" s="1037"/>
      <c r="L257" s="1037"/>
      <c r="M257" s="1037"/>
      <c r="N257" s="1037"/>
      <c r="O257" s="1037"/>
      <c r="P257" s="1037"/>
      <c r="Q257" s="1037"/>
      <c r="R257" s="1037"/>
      <c r="S257" s="1037"/>
      <c r="T257" s="1037"/>
      <c r="U257" s="1037"/>
      <c r="V257" s="1037"/>
      <c r="W257" s="1037"/>
      <c r="X257" s="1037"/>
      <c r="Y257" s="1037"/>
      <c r="Z257" s="1037"/>
      <c r="AA257" s="1037"/>
      <c r="AB257" s="1037"/>
      <c r="AC257" s="1037"/>
      <c r="AD257" s="1037"/>
      <c r="AE257" s="1037"/>
      <c r="AF257" s="1037"/>
      <c r="AG257" s="1037"/>
      <c r="AH257" s="1037"/>
      <c r="AI257" s="1037"/>
      <c r="AJ257" s="1037"/>
      <c r="AK257" s="1037"/>
      <c r="AL257" s="1037"/>
      <c r="AM257" s="1037"/>
      <c r="AN257" s="1037"/>
      <c r="AO257" s="1037"/>
      <c r="AP257" s="1037"/>
    </row>
    <row r="258" spans="1:42" s="226" customFormat="1">
      <c r="A258" s="2060"/>
      <c r="B258" s="1037"/>
      <c r="C258" s="1037"/>
      <c r="D258" s="1037"/>
      <c r="E258" s="1037"/>
      <c r="F258" s="1037"/>
      <c r="G258" s="1037"/>
      <c r="H258" s="1018"/>
      <c r="I258" s="1037"/>
      <c r="J258" s="1037"/>
      <c r="K258" s="1037"/>
      <c r="L258" s="1037"/>
      <c r="M258" s="1037"/>
      <c r="N258" s="1037"/>
      <c r="O258" s="1037"/>
      <c r="P258" s="1037"/>
      <c r="Q258" s="1037"/>
      <c r="R258" s="1037"/>
      <c r="S258" s="1037"/>
      <c r="T258" s="1037"/>
      <c r="U258" s="1037"/>
      <c r="V258" s="1037"/>
      <c r="W258" s="1037"/>
      <c r="X258" s="1037"/>
      <c r="Y258" s="1037"/>
      <c r="Z258" s="1037"/>
      <c r="AA258" s="1037"/>
      <c r="AB258" s="1037"/>
      <c r="AC258" s="1037"/>
      <c r="AD258" s="1037"/>
      <c r="AE258" s="1037"/>
      <c r="AF258" s="1037"/>
      <c r="AG258" s="1037"/>
      <c r="AH258" s="1037"/>
      <c r="AI258" s="1037"/>
      <c r="AJ258" s="1037"/>
      <c r="AK258" s="1037"/>
      <c r="AL258" s="1037"/>
      <c r="AM258" s="1037"/>
      <c r="AN258" s="1037"/>
      <c r="AO258" s="1037"/>
      <c r="AP258" s="1037"/>
    </row>
    <row r="259" spans="1:42" s="226" customFormat="1">
      <c r="A259" s="2060"/>
      <c r="B259" s="1037"/>
      <c r="C259" s="1037"/>
      <c r="D259" s="1037"/>
      <c r="E259" s="1037"/>
      <c r="F259" s="1037"/>
      <c r="G259" s="1037"/>
      <c r="H259" s="1018"/>
      <c r="I259" s="1037"/>
      <c r="J259" s="1037"/>
      <c r="K259" s="1037"/>
      <c r="L259" s="1037"/>
      <c r="M259" s="1037"/>
      <c r="N259" s="1037"/>
      <c r="O259" s="1037"/>
      <c r="P259" s="1037"/>
      <c r="Q259" s="1037"/>
      <c r="R259" s="1037"/>
      <c r="S259" s="1037"/>
      <c r="T259" s="1037"/>
      <c r="U259" s="1037"/>
      <c r="V259" s="1037"/>
      <c r="W259" s="1037"/>
      <c r="X259" s="1037"/>
      <c r="Y259" s="1037"/>
      <c r="Z259" s="1037"/>
      <c r="AA259" s="1037"/>
      <c r="AB259" s="1037"/>
      <c r="AC259" s="1037"/>
      <c r="AD259" s="1037"/>
      <c r="AE259" s="1037"/>
      <c r="AF259" s="1037"/>
      <c r="AG259" s="1037"/>
      <c r="AH259" s="1037"/>
      <c r="AI259" s="1037"/>
      <c r="AJ259" s="1037"/>
      <c r="AK259" s="1037"/>
      <c r="AL259" s="1037"/>
      <c r="AM259" s="1037"/>
      <c r="AN259" s="1037"/>
      <c r="AO259" s="1037"/>
      <c r="AP259" s="1037"/>
    </row>
    <row r="260" spans="1:42" s="226" customFormat="1">
      <c r="A260" s="2060"/>
      <c r="B260" s="1037"/>
      <c r="C260" s="1037"/>
      <c r="D260" s="1037"/>
      <c r="E260" s="1037"/>
      <c r="F260" s="1037"/>
      <c r="G260" s="1037"/>
      <c r="H260" s="1018"/>
      <c r="I260" s="1037"/>
      <c r="J260" s="1037"/>
      <c r="K260" s="1037"/>
      <c r="L260" s="1037"/>
      <c r="M260" s="1037"/>
      <c r="N260" s="1037"/>
      <c r="O260" s="1037"/>
      <c r="P260" s="1037"/>
      <c r="Q260" s="1037"/>
      <c r="R260" s="1037"/>
      <c r="S260" s="1037"/>
      <c r="T260" s="1037"/>
      <c r="U260" s="1037"/>
      <c r="V260" s="1037"/>
      <c r="W260" s="1037"/>
      <c r="X260" s="1037"/>
      <c r="Y260" s="1037"/>
      <c r="Z260" s="1037"/>
      <c r="AA260" s="1037"/>
      <c r="AB260" s="1037"/>
      <c r="AC260" s="1037"/>
      <c r="AD260" s="1037"/>
      <c r="AE260" s="1037"/>
      <c r="AF260" s="1037"/>
      <c r="AG260" s="1037"/>
      <c r="AH260" s="1037"/>
      <c r="AI260" s="1037"/>
      <c r="AJ260" s="1037"/>
      <c r="AK260" s="1037"/>
      <c r="AL260" s="1037"/>
      <c r="AM260" s="1037"/>
      <c r="AN260" s="1037"/>
      <c r="AO260" s="1037"/>
      <c r="AP260" s="1037"/>
    </row>
    <row r="261" spans="1:42" s="226" customFormat="1">
      <c r="A261" s="2060"/>
      <c r="B261" s="1037"/>
      <c r="C261" s="1037"/>
      <c r="D261" s="1037"/>
      <c r="E261" s="1037"/>
      <c r="F261" s="1037"/>
      <c r="G261" s="1037"/>
      <c r="H261" s="1018"/>
      <c r="I261" s="1037"/>
      <c r="J261" s="1037"/>
      <c r="K261" s="1037"/>
      <c r="L261" s="1037"/>
      <c r="M261" s="1037"/>
      <c r="N261" s="1037"/>
      <c r="O261" s="1037"/>
      <c r="P261" s="1037"/>
      <c r="Q261" s="1037"/>
      <c r="R261" s="1037"/>
      <c r="S261" s="1037"/>
      <c r="T261" s="1037"/>
      <c r="U261" s="1037"/>
      <c r="V261" s="1037"/>
      <c r="W261" s="1037"/>
      <c r="X261" s="1037"/>
      <c r="Y261" s="1037"/>
      <c r="Z261" s="1037"/>
      <c r="AA261" s="1037"/>
      <c r="AB261" s="1037"/>
      <c r="AC261" s="1037"/>
      <c r="AD261" s="1037"/>
      <c r="AE261" s="1037"/>
      <c r="AF261" s="1037"/>
      <c r="AG261" s="1037"/>
      <c r="AH261" s="1037"/>
      <c r="AI261" s="1037"/>
      <c r="AJ261" s="1037"/>
      <c r="AK261" s="1037"/>
      <c r="AL261" s="1037"/>
      <c r="AM261" s="1037"/>
      <c r="AN261" s="1037"/>
      <c r="AO261" s="1037"/>
      <c r="AP261" s="1037"/>
    </row>
    <row r="262" spans="1:42" s="226" customFormat="1">
      <c r="A262" s="2060"/>
      <c r="B262" s="1037"/>
      <c r="C262" s="1037"/>
      <c r="D262" s="1037"/>
      <c r="E262" s="1037"/>
      <c r="F262" s="1037"/>
      <c r="G262" s="1037"/>
      <c r="H262" s="1018"/>
      <c r="I262" s="1037"/>
      <c r="J262" s="1037"/>
      <c r="K262" s="1037"/>
      <c r="L262" s="1037"/>
      <c r="M262" s="1037"/>
      <c r="N262" s="1037"/>
      <c r="O262" s="1037"/>
      <c r="P262" s="1037"/>
      <c r="Q262" s="1037"/>
      <c r="R262" s="1037"/>
      <c r="S262" s="1037"/>
      <c r="T262" s="1037"/>
      <c r="U262" s="1037"/>
      <c r="V262" s="1037"/>
      <c r="W262" s="1037"/>
      <c r="X262" s="1037"/>
      <c r="Y262" s="1037"/>
      <c r="Z262" s="1037"/>
      <c r="AA262" s="1037"/>
      <c r="AB262" s="1037"/>
      <c r="AC262" s="1037"/>
      <c r="AD262" s="1037"/>
      <c r="AE262" s="1037"/>
      <c r="AF262" s="1037"/>
      <c r="AG262" s="1037"/>
      <c r="AH262" s="1037"/>
      <c r="AI262" s="1037"/>
      <c r="AJ262" s="1037"/>
      <c r="AK262" s="1037"/>
      <c r="AL262" s="1037"/>
      <c r="AM262" s="1037"/>
      <c r="AN262" s="1037"/>
      <c r="AO262" s="1037"/>
      <c r="AP262" s="1037"/>
    </row>
    <row r="263" spans="1:42" s="226" customFormat="1">
      <c r="A263" s="2060"/>
      <c r="B263" s="1037"/>
      <c r="C263" s="1037"/>
      <c r="D263" s="1037"/>
      <c r="E263" s="1037"/>
      <c r="F263" s="1037"/>
      <c r="G263" s="1037"/>
      <c r="H263" s="1018"/>
      <c r="I263" s="1037"/>
      <c r="J263" s="1037"/>
      <c r="K263" s="1037"/>
      <c r="L263" s="1037"/>
      <c r="M263" s="1037"/>
      <c r="N263" s="1037"/>
      <c r="O263" s="1037"/>
      <c r="P263" s="1037"/>
      <c r="Q263" s="1037"/>
      <c r="R263" s="1037"/>
      <c r="S263" s="1037"/>
      <c r="T263" s="1037"/>
      <c r="U263" s="1037"/>
      <c r="V263" s="1037"/>
      <c r="W263" s="1037"/>
      <c r="X263" s="1037"/>
      <c r="Y263" s="1037"/>
      <c r="Z263" s="1037"/>
      <c r="AA263" s="1037"/>
      <c r="AB263" s="1037"/>
      <c r="AC263" s="1037"/>
      <c r="AD263" s="1037"/>
      <c r="AE263" s="1037"/>
      <c r="AF263" s="1037"/>
      <c r="AG263" s="1037"/>
      <c r="AH263" s="1037"/>
      <c r="AI263" s="1037"/>
      <c r="AJ263" s="1037"/>
      <c r="AK263" s="1037"/>
      <c r="AL263" s="1037"/>
      <c r="AM263" s="1037"/>
      <c r="AN263" s="1037"/>
      <c r="AO263" s="1037"/>
      <c r="AP263" s="1037"/>
    </row>
    <row r="264" spans="1:42" s="226" customFormat="1">
      <c r="A264" s="2060"/>
      <c r="B264" s="1037"/>
      <c r="C264" s="1037"/>
      <c r="D264" s="1037"/>
      <c r="E264" s="1037"/>
      <c r="F264" s="1037"/>
      <c r="G264" s="1037"/>
      <c r="H264" s="1018"/>
      <c r="I264" s="1037"/>
      <c r="J264" s="1037"/>
      <c r="K264" s="1037"/>
      <c r="L264" s="1037"/>
      <c r="M264" s="1037"/>
      <c r="N264" s="1037"/>
      <c r="O264" s="1037"/>
      <c r="P264" s="1037"/>
      <c r="Q264" s="1037"/>
      <c r="R264" s="1037"/>
      <c r="S264" s="1037"/>
      <c r="T264" s="1037"/>
      <c r="U264" s="1037"/>
      <c r="V264" s="1037"/>
      <c r="W264" s="1037"/>
      <c r="X264" s="1037"/>
      <c r="Y264" s="1037"/>
      <c r="Z264" s="1037"/>
      <c r="AA264" s="1037"/>
      <c r="AB264" s="1037"/>
      <c r="AC264" s="1037"/>
      <c r="AD264" s="1037"/>
      <c r="AE264" s="1037"/>
      <c r="AF264" s="1037"/>
      <c r="AG264" s="1037"/>
      <c r="AH264" s="1037"/>
      <c r="AI264" s="1037"/>
      <c r="AJ264" s="1037"/>
      <c r="AK264" s="1037"/>
      <c r="AL264" s="1037"/>
      <c r="AM264" s="1037"/>
      <c r="AN264" s="1037"/>
      <c r="AO264" s="1037"/>
      <c r="AP264" s="1037"/>
    </row>
    <row r="265" spans="1:42" s="226" customFormat="1">
      <c r="A265" s="2060"/>
      <c r="B265" s="1037"/>
      <c r="C265" s="1037"/>
      <c r="D265" s="1037"/>
      <c r="E265" s="1037"/>
      <c r="F265" s="1037"/>
      <c r="G265" s="1037"/>
      <c r="H265" s="1018"/>
      <c r="I265" s="1037"/>
      <c r="J265" s="1037"/>
      <c r="K265" s="1037"/>
      <c r="L265" s="1037"/>
      <c r="M265" s="1037"/>
      <c r="N265" s="1037"/>
      <c r="O265" s="1037"/>
      <c r="P265" s="1037"/>
      <c r="Q265" s="1037"/>
      <c r="R265" s="1037"/>
      <c r="S265" s="1037"/>
      <c r="T265" s="1037"/>
      <c r="U265" s="1037"/>
      <c r="V265" s="1037"/>
      <c r="W265" s="1037"/>
      <c r="X265" s="1037"/>
      <c r="Y265" s="1037"/>
      <c r="Z265" s="1037"/>
      <c r="AA265" s="1037"/>
      <c r="AB265" s="1037"/>
      <c r="AC265" s="1037"/>
      <c r="AD265" s="1037"/>
      <c r="AE265" s="1037"/>
      <c r="AF265" s="1037"/>
      <c r="AG265" s="1037"/>
      <c r="AH265" s="1037"/>
      <c r="AI265" s="1037"/>
      <c r="AJ265" s="1037"/>
      <c r="AK265" s="1037"/>
      <c r="AL265" s="1037"/>
      <c r="AM265" s="1037"/>
      <c r="AN265" s="1037"/>
      <c r="AO265" s="1037"/>
      <c r="AP265" s="1037"/>
    </row>
    <row r="266" spans="1:42" s="226" customFormat="1">
      <c r="A266" s="2060"/>
      <c r="B266" s="1037"/>
      <c r="C266" s="1037"/>
      <c r="D266" s="1037"/>
      <c r="E266" s="1037"/>
      <c r="F266" s="1037"/>
      <c r="G266" s="1037"/>
      <c r="H266" s="1018"/>
      <c r="I266" s="1037"/>
      <c r="J266" s="1037"/>
      <c r="K266" s="1037"/>
      <c r="L266" s="1037"/>
      <c r="M266" s="1037"/>
      <c r="N266" s="1037"/>
      <c r="O266" s="1037"/>
      <c r="P266" s="1037"/>
      <c r="Q266" s="1037"/>
      <c r="R266" s="1037"/>
      <c r="S266" s="1037"/>
      <c r="T266" s="1037"/>
      <c r="U266" s="1037"/>
      <c r="V266" s="1037"/>
      <c r="W266" s="1037"/>
      <c r="X266" s="1037"/>
      <c r="Y266" s="1037"/>
      <c r="Z266" s="1037"/>
      <c r="AA266" s="1037"/>
      <c r="AB266" s="1037"/>
      <c r="AC266" s="1037"/>
      <c r="AD266" s="1037"/>
      <c r="AE266" s="1037"/>
      <c r="AF266" s="1037"/>
      <c r="AG266" s="1037"/>
      <c r="AH266" s="1037"/>
      <c r="AI266" s="1037"/>
      <c r="AJ266" s="1037"/>
      <c r="AK266" s="1037"/>
      <c r="AL266" s="1037"/>
      <c r="AM266" s="1037"/>
      <c r="AN266" s="1037"/>
      <c r="AO266" s="1037"/>
      <c r="AP266" s="1037"/>
    </row>
    <row r="267" spans="1:42" s="226" customFormat="1">
      <c r="A267" s="2060"/>
      <c r="B267" s="1037"/>
      <c r="C267" s="1037"/>
      <c r="D267" s="1037"/>
      <c r="E267" s="1037"/>
      <c r="F267" s="1037"/>
      <c r="G267" s="1037"/>
      <c r="H267" s="1018"/>
      <c r="I267" s="1037"/>
      <c r="J267" s="1037"/>
      <c r="K267" s="1037"/>
      <c r="L267" s="1037"/>
      <c r="M267" s="1037"/>
      <c r="N267" s="1037"/>
      <c r="O267" s="1037"/>
      <c r="P267" s="1037"/>
      <c r="Q267" s="1037"/>
      <c r="R267" s="1037"/>
      <c r="S267" s="1037"/>
      <c r="T267" s="1037"/>
      <c r="U267" s="1037"/>
      <c r="V267" s="1037"/>
      <c r="W267" s="1037"/>
      <c r="X267" s="1037"/>
      <c r="Y267" s="1037"/>
      <c r="Z267" s="1037"/>
      <c r="AA267" s="1037"/>
      <c r="AB267" s="1037"/>
      <c r="AC267" s="1037"/>
      <c r="AD267" s="1037"/>
      <c r="AE267" s="1037"/>
      <c r="AF267" s="1037"/>
      <c r="AG267" s="1037"/>
      <c r="AH267" s="1037"/>
      <c r="AI267" s="1037"/>
      <c r="AJ267" s="1037"/>
      <c r="AK267" s="1037"/>
      <c r="AL267" s="1037"/>
      <c r="AM267" s="1037"/>
      <c r="AN267" s="1037"/>
      <c r="AO267" s="1037"/>
      <c r="AP267" s="1037"/>
    </row>
    <row r="268" spans="1:42" s="226" customFormat="1">
      <c r="A268" s="2060"/>
      <c r="B268" s="1037"/>
      <c r="C268" s="1037"/>
      <c r="D268" s="1037"/>
      <c r="E268" s="1037"/>
      <c r="F268" s="1037"/>
      <c r="G268" s="1037"/>
      <c r="H268" s="1018"/>
      <c r="I268" s="1037"/>
      <c r="J268" s="1037"/>
      <c r="K268" s="1037"/>
      <c r="L268" s="1037"/>
      <c r="M268" s="1037"/>
      <c r="N268" s="1037"/>
      <c r="O268" s="1037"/>
      <c r="P268" s="1037"/>
      <c r="Q268" s="1037"/>
      <c r="R268" s="1037"/>
      <c r="S268" s="1037"/>
      <c r="T268" s="1037"/>
      <c r="U268" s="1037"/>
      <c r="V268" s="1037"/>
      <c r="W268" s="1037"/>
      <c r="X268" s="1037"/>
      <c r="Y268" s="1037"/>
      <c r="Z268" s="1037"/>
      <c r="AA268" s="1037"/>
      <c r="AB268" s="1037"/>
      <c r="AC268" s="1037"/>
      <c r="AD268" s="1037"/>
      <c r="AE268" s="1037"/>
      <c r="AF268" s="1037"/>
      <c r="AG268" s="1037"/>
      <c r="AH268" s="1037"/>
      <c r="AI268" s="1037"/>
      <c r="AJ268" s="1037"/>
      <c r="AK268" s="1037"/>
      <c r="AL268" s="1037"/>
      <c r="AM268" s="1037"/>
      <c r="AN268" s="1037"/>
      <c r="AO268" s="1037"/>
      <c r="AP268" s="1037"/>
    </row>
    <row r="269" spans="1:42" s="226" customFormat="1">
      <c r="A269" s="2060"/>
      <c r="B269" s="1037"/>
      <c r="C269" s="1037"/>
      <c r="D269" s="1037"/>
      <c r="E269" s="1037"/>
      <c r="F269" s="1037"/>
      <c r="G269" s="1037"/>
      <c r="H269" s="1018"/>
      <c r="I269" s="1037"/>
      <c r="J269" s="1037"/>
      <c r="K269" s="1037"/>
      <c r="L269" s="1037"/>
      <c r="M269" s="1037"/>
      <c r="N269" s="1037"/>
      <c r="O269" s="1037"/>
      <c r="P269" s="1037"/>
      <c r="Q269" s="1037"/>
      <c r="R269" s="1037"/>
      <c r="S269" s="1037"/>
      <c r="T269" s="1037"/>
      <c r="U269" s="1037"/>
      <c r="V269" s="1037"/>
      <c r="W269" s="1037"/>
      <c r="X269" s="1037"/>
      <c r="Y269" s="1037"/>
      <c r="Z269" s="1037"/>
      <c r="AA269" s="1037"/>
      <c r="AB269" s="1037"/>
      <c r="AC269" s="1037"/>
      <c r="AD269" s="1037"/>
      <c r="AE269" s="1037"/>
      <c r="AF269" s="1037"/>
      <c r="AG269" s="1037"/>
      <c r="AH269" s="1037"/>
      <c r="AI269" s="1037"/>
      <c r="AJ269" s="1037"/>
      <c r="AK269" s="1037"/>
      <c r="AL269" s="1037"/>
      <c r="AM269" s="1037"/>
      <c r="AN269" s="1037"/>
      <c r="AO269" s="1037"/>
      <c r="AP269" s="1037"/>
    </row>
    <row r="270" spans="1:42" s="226" customFormat="1">
      <c r="A270" s="2060"/>
      <c r="B270" s="1037"/>
      <c r="C270" s="1037"/>
      <c r="D270" s="1037"/>
      <c r="E270" s="1037"/>
      <c r="F270" s="1037"/>
      <c r="G270" s="1037"/>
      <c r="H270" s="1018"/>
      <c r="I270" s="1037"/>
      <c r="J270" s="1037"/>
      <c r="K270" s="1037"/>
      <c r="L270" s="1037"/>
      <c r="M270" s="1037"/>
      <c r="N270" s="1037"/>
      <c r="O270" s="1037"/>
      <c r="P270" s="1037"/>
      <c r="Q270" s="1037"/>
      <c r="R270" s="1037"/>
      <c r="S270" s="1037"/>
      <c r="T270" s="1037"/>
      <c r="U270" s="1037"/>
      <c r="V270" s="1037"/>
      <c r="W270" s="1037"/>
      <c r="X270" s="1037"/>
      <c r="Y270" s="1037"/>
      <c r="Z270" s="1037"/>
      <c r="AA270" s="1037"/>
      <c r="AB270" s="1037"/>
      <c r="AC270" s="1037"/>
      <c r="AD270" s="1037"/>
      <c r="AE270" s="1037"/>
      <c r="AF270" s="1037"/>
      <c r="AG270" s="1037"/>
      <c r="AH270" s="1037"/>
      <c r="AI270" s="1037"/>
      <c r="AJ270" s="1037"/>
      <c r="AK270" s="1037"/>
      <c r="AL270" s="1037"/>
      <c r="AM270" s="1037"/>
      <c r="AN270" s="1037"/>
      <c r="AO270" s="1037"/>
      <c r="AP270" s="1037"/>
    </row>
    <row r="271" spans="1:42" s="226" customFormat="1">
      <c r="A271" s="2060"/>
      <c r="B271" s="1037"/>
      <c r="C271" s="1037"/>
      <c r="D271" s="1037"/>
      <c r="E271" s="1037"/>
      <c r="F271" s="1037"/>
      <c r="G271" s="1037"/>
      <c r="H271" s="1018"/>
      <c r="I271" s="1037"/>
      <c r="J271" s="1037"/>
      <c r="K271" s="1037"/>
      <c r="L271" s="1037"/>
      <c r="M271" s="1037"/>
      <c r="N271" s="1037"/>
      <c r="O271" s="1037"/>
      <c r="P271" s="1037"/>
      <c r="Q271" s="1037"/>
      <c r="R271" s="1037"/>
      <c r="S271" s="1037"/>
      <c r="T271" s="1037"/>
      <c r="U271" s="1037"/>
      <c r="V271" s="1037"/>
      <c r="W271" s="1037"/>
      <c r="X271" s="1037"/>
      <c r="Y271" s="1037"/>
      <c r="Z271" s="1037"/>
      <c r="AA271" s="1037"/>
      <c r="AB271" s="1037"/>
      <c r="AC271" s="1037"/>
      <c r="AD271" s="1037"/>
      <c r="AE271" s="1037"/>
      <c r="AF271" s="1037"/>
      <c r="AG271" s="1037"/>
      <c r="AH271" s="1037"/>
      <c r="AI271" s="1037"/>
      <c r="AJ271" s="1037"/>
      <c r="AK271" s="1037"/>
      <c r="AL271" s="1037"/>
      <c r="AM271" s="1037"/>
      <c r="AN271" s="1037"/>
      <c r="AO271" s="1037"/>
      <c r="AP271" s="1037"/>
    </row>
    <row r="272" spans="1:42" s="226" customFormat="1">
      <c r="A272" s="2060"/>
      <c r="B272" s="1037"/>
      <c r="C272" s="1037"/>
      <c r="D272" s="1037"/>
      <c r="E272" s="1037"/>
      <c r="F272" s="1037"/>
      <c r="G272" s="1037"/>
      <c r="H272" s="1018"/>
      <c r="I272" s="1037"/>
      <c r="J272" s="1037"/>
      <c r="K272" s="1037"/>
      <c r="L272" s="1037"/>
      <c r="M272" s="1037"/>
      <c r="N272" s="1037"/>
      <c r="O272" s="1037"/>
      <c r="P272" s="1037"/>
      <c r="Q272" s="1037"/>
      <c r="R272" s="1037"/>
      <c r="S272" s="1037"/>
      <c r="T272" s="1037"/>
      <c r="U272" s="1037"/>
      <c r="V272" s="1037"/>
      <c r="W272" s="1037"/>
      <c r="X272" s="1037"/>
      <c r="Y272" s="1037"/>
      <c r="Z272" s="1037"/>
      <c r="AA272" s="1037"/>
      <c r="AB272" s="1037"/>
      <c r="AC272" s="1037"/>
      <c r="AD272" s="1037"/>
      <c r="AE272" s="1037"/>
      <c r="AF272" s="1037"/>
      <c r="AG272" s="1037"/>
      <c r="AH272" s="1037"/>
      <c r="AI272" s="1037"/>
      <c r="AJ272" s="1037"/>
      <c r="AK272" s="1037"/>
      <c r="AL272" s="1037"/>
      <c r="AM272" s="1037"/>
      <c r="AN272" s="1037"/>
      <c r="AO272" s="1037"/>
      <c r="AP272" s="1037"/>
    </row>
    <row r="273" spans="1:42" s="226" customFormat="1">
      <c r="A273" s="2060"/>
      <c r="B273" s="1037"/>
      <c r="C273" s="1037"/>
      <c r="D273" s="1037"/>
      <c r="E273" s="1037"/>
      <c r="F273" s="1037"/>
      <c r="G273" s="1037"/>
      <c r="H273" s="1018"/>
      <c r="I273" s="1037"/>
      <c r="J273" s="1037"/>
      <c r="K273" s="1037"/>
      <c r="L273" s="1037"/>
      <c r="M273" s="1037"/>
      <c r="N273" s="1037"/>
      <c r="O273" s="1037"/>
      <c r="P273" s="1037"/>
      <c r="Q273" s="1037"/>
      <c r="R273" s="1037"/>
      <c r="S273" s="1037"/>
      <c r="T273" s="1037"/>
      <c r="U273" s="1037"/>
      <c r="V273" s="1037"/>
      <c r="W273" s="1037"/>
      <c r="X273" s="1037"/>
      <c r="Y273" s="1037"/>
      <c r="Z273" s="1037"/>
      <c r="AA273" s="1037"/>
      <c r="AB273" s="1037"/>
      <c r="AC273" s="1037"/>
      <c r="AD273" s="1037"/>
      <c r="AE273" s="1037"/>
      <c r="AF273" s="1037"/>
      <c r="AG273" s="1037"/>
      <c r="AH273" s="1037"/>
      <c r="AI273" s="1037"/>
      <c r="AJ273" s="1037"/>
      <c r="AK273" s="1037"/>
      <c r="AL273" s="1037"/>
      <c r="AM273" s="1037"/>
      <c r="AN273" s="1037"/>
      <c r="AO273" s="1037"/>
      <c r="AP273" s="1037"/>
    </row>
    <row r="274" spans="1:42" s="226" customFormat="1">
      <c r="A274" s="2060"/>
      <c r="B274" s="1037"/>
      <c r="C274" s="1037"/>
      <c r="D274" s="1037"/>
      <c r="E274" s="1037"/>
      <c r="F274" s="1037"/>
      <c r="G274" s="1037"/>
      <c r="H274" s="1018"/>
      <c r="I274" s="1037"/>
      <c r="J274" s="1037"/>
      <c r="K274" s="1037"/>
      <c r="L274" s="1037"/>
      <c r="M274" s="1037"/>
      <c r="N274" s="1037"/>
      <c r="O274" s="1037"/>
      <c r="P274" s="1037"/>
      <c r="Q274" s="1037"/>
      <c r="R274" s="1037"/>
      <c r="S274" s="1037"/>
      <c r="T274" s="1037"/>
      <c r="U274" s="1037"/>
      <c r="V274" s="1037"/>
      <c r="W274" s="1037"/>
      <c r="X274" s="1037"/>
      <c r="Y274" s="1037"/>
      <c r="Z274" s="1037"/>
      <c r="AA274" s="1037"/>
      <c r="AB274" s="1037"/>
      <c r="AC274" s="1037"/>
      <c r="AD274" s="1037"/>
      <c r="AE274" s="1037"/>
      <c r="AF274" s="1037"/>
      <c r="AG274" s="1037"/>
      <c r="AH274" s="1037"/>
      <c r="AI274" s="1037"/>
      <c r="AJ274" s="1037"/>
      <c r="AK274" s="1037"/>
      <c r="AL274" s="1037"/>
      <c r="AM274" s="1037"/>
      <c r="AN274" s="1037"/>
      <c r="AO274" s="1037"/>
      <c r="AP274" s="1037"/>
    </row>
    <row r="275" spans="1:42" s="226" customFormat="1">
      <c r="A275" s="2060"/>
      <c r="B275" s="1037"/>
      <c r="C275" s="1037"/>
      <c r="D275" s="1037"/>
      <c r="E275" s="1037"/>
      <c r="F275" s="1037"/>
      <c r="G275" s="1037"/>
      <c r="H275" s="1018"/>
      <c r="I275" s="1037"/>
      <c r="J275" s="1037"/>
      <c r="K275" s="1037"/>
      <c r="L275" s="1037"/>
      <c r="M275" s="1037"/>
      <c r="N275" s="1037"/>
      <c r="O275" s="1037"/>
      <c r="P275" s="1037"/>
      <c r="Q275" s="1037"/>
      <c r="R275" s="1037"/>
      <c r="S275" s="1037"/>
      <c r="T275" s="1037"/>
      <c r="U275" s="1037"/>
      <c r="V275" s="1037"/>
      <c r="W275" s="1037"/>
      <c r="X275" s="1037"/>
      <c r="Y275" s="1037"/>
      <c r="Z275" s="1037"/>
      <c r="AA275" s="1037"/>
      <c r="AB275" s="1037"/>
      <c r="AC275" s="1037"/>
      <c r="AD275" s="1037"/>
      <c r="AE275" s="1037"/>
      <c r="AF275" s="1037"/>
      <c r="AG275" s="1037"/>
      <c r="AH275" s="1037"/>
      <c r="AI275" s="1037"/>
      <c r="AJ275" s="1037"/>
      <c r="AK275" s="1037"/>
      <c r="AL275" s="1037"/>
      <c r="AM275" s="1037"/>
      <c r="AN275" s="1037"/>
      <c r="AO275" s="1037"/>
      <c r="AP275" s="1037"/>
    </row>
    <row r="276" spans="1:42" s="226" customFormat="1">
      <c r="A276" s="2060"/>
      <c r="B276" s="1037"/>
      <c r="C276" s="1037"/>
      <c r="D276" s="1037"/>
      <c r="E276" s="1037"/>
      <c r="F276" s="1037"/>
      <c r="G276" s="1037"/>
      <c r="H276" s="1018"/>
      <c r="I276" s="1037"/>
      <c r="J276" s="1037"/>
      <c r="K276" s="1037"/>
      <c r="L276" s="1037"/>
      <c r="M276" s="1037"/>
      <c r="N276" s="1037"/>
      <c r="O276" s="1037"/>
      <c r="P276" s="1037"/>
      <c r="Q276" s="1037"/>
      <c r="R276" s="1037"/>
      <c r="S276" s="1037"/>
      <c r="T276" s="1037"/>
      <c r="U276" s="1037"/>
      <c r="V276" s="1037"/>
      <c r="W276" s="1037"/>
      <c r="X276" s="1037"/>
      <c r="Y276" s="1037"/>
      <c r="Z276" s="1037"/>
      <c r="AA276" s="1037"/>
      <c r="AB276" s="1037"/>
      <c r="AC276" s="1037"/>
      <c r="AD276" s="1037"/>
      <c r="AE276" s="1037"/>
      <c r="AF276" s="1037"/>
      <c r="AG276" s="1037"/>
      <c r="AH276" s="1037"/>
      <c r="AI276" s="1037"/>
      <c r="AJ276" s="1037"/>
      <c r="AK276" s="1037"/>
      <c r="AL276" s="1037"/>
      <c r="AM276" s="1037"/>
      <c r="AN276" s="1037"/>
      <c r="AO276" s="1037"/>
      <c r="AP276" s="1037"/>
    </row>
    <row r="277" spans="1:42" s="226" customFormat="1">
      <c r="A277" s="2060"/>
      <c r="B277" s="1037"/>
      <c r="C277" s="1037"/>
      <c r="D277" s="1037"/>
      <c r="E277" s="1037"/>
      <c r="F277" s="1037"/>
      <c r="G277" s="1037"/>
      <c r="H277" s="1018"/>
      <c r="I277" s="1037"/>
      <c r="J277" s="1037"/>
      <c r="K277" s="1037"/>
      <c r="L277" s="1037"/>
      <c r="M277" s="1037"/>
      <c r="N277" s="1037"/>
      <c r="O277" s="1037"/>
      <c r="P277" s="1037"/>
      <c r="Q277" s="1037"/>
      <c r="R277" s="1037"/>
      <c r="S277" s="1037"/>
      <c r="T277" s="1037"/>
      <c r="U277" s="1037"/>
      <c r="V277" s="1037"/>
      <c r="W277" s="1037"/>
      <c r="X277" s="1037"/>
      <c r="Y277" s="1037"/>
      <c r="Z277" s="1037"/>
      <c r="AA277" s="1037"/>
      <c r="AB277" s="1037"/>
      <c r="AC277" s="1037"/>
      <c r="AD277" s="1037"/>
      <c r="AE277" s="1037"/>
      <c r="AF277" s="1037"/>
      <c r="AG277" s="1037"/>
      <c r="AH277" s="1037"/>
      <c r="AI277" s="1037"/>
      <c r="AJ277" s="1037"/>
      <c r="AK277" s="1037"/>
      <c r="AL277" s="1037"/>
      <c r="AM277" s="1037"/>
      <c r="AN277" s="1037"/>
      <c r="AO277" s="1037"/>
      <c r="AP277" s="1037"/>
    </row>
    <row r="278" spans="1:42" s="226" customFormat="1">
      <c r="A278" s="2060"/>
      <c r="B278" s="1037"/>
      <c r="C278" s="1037"/>
      <c r="D278" s="1037"/>
      <c r="E278" s="1037"/>
      <c r="F278" s="1037"/>
      <c r="G278" s="1037"/>
      <c r="H278" s="1018"/>
      <c r="I278" s="1037"/>
      <c r="J278" s="1037"/>
      <c r="K278" s="1037"/>
      <c r="L278" s="1037"/>
      <c r="M278" s="1037"/>
      <c r="N278" s="1037"/>
      <c r="O278" s="1037"/>
      <c r="P278" s="1037"/>
      <c r="Q278" s="1037"/>
      <c r="R278" s="1037"/>
      <c r="S278" s="1037"/>
      <c r="T278" s="1037"/>
      <c r="U278" s="1037"/>
      <c r="V278" s="1037"/>
      <c r="W278" s="1037"/>
      <c r="X278" s="1037"/>
      <c r="Y278" s="1037"/>
      <c r="Z278" s="1037"/>
      <c r="AA278" s="1037"/>
      <c r="AB278" s="1037"/>
      <c r="AC278" s="1037"/>
      <c r="AD278" s="1037"/>
      <c r="AE278" s="1037"/>
      <c r="AF278" s="1037"/>
      <c r="AG278" s="1037"/>
      <c r="AH278" s="1037"/>
      <c r="AI278" s="1037"/>
      <c r="AJ278" s="1037"/>
      <c r="AK278" s="1037"/>
      <c r="AL278" s="1037"/>
      <c r="AM278" s="1037"/>
      <c r="AN278" s="1037"/>
      <c r="AO278" s="1037"/>
      <c r="AP278" s="1037"/>
    </row>
    <row r="279" spans="1:42" s="226" customFormat="1">
      <c r="A279" s="2060"/>
      <c r="B279" s="1037"/>
      <c r="C279" s="1037"/>
      <c r="D279" s="1037"/>
      <c r="E279" s="1037"/>
      <c r="F279" s="1037"/>
      <c r="G279" s="1037"/>
      <c r="H279" s="1018"/>
      <c r="I279" s="1037"/>
      <c r="J279" s="1037"/>
      <c r="K279" s="1037"/>
      <c r="L279" s="1037"/>
      <c r="M279" s="1037"/>
      <c r="N279" s="1037"/>
      <c r="O279" s="1037"/>
      <c r="P279" s="1037"/>
      <c r="Q279" s="1037"/>
      <c r="R279" s="1037"/>
      <c r="S279" s="1037"/>
      <c r="T279" s="1037"/>
      <c r="U279" s="1037"/>
      <c r="V279" s="1037"/>
      <c r="W279" s="1037"/>
      <c r="X279" s="1037"/>
      <c r="Y279" s="1037"/>
      <c r="Z279" s="1037"/>
      <c r="AA279" s="1037"/>
      <c r="AB279" s="1037"/>
      <c r="AC279" s="1037"/>
      <c r="AD279" s="1037"/>
      <c r="AE279" s="1037"/>
      <c r="AF279" s="1037"/>
      <c r="AG279" s="1037"/>
      <c r="AH279" s="1037"/>
      <c r="AI279" s="1037"/>
      <c r="AJ279" s="1037"/>
      <c r="AK279" s="1037"/>
      <c r="AL279" s="1037"/>
      <c r="AM279" s="1037"/>
      <c r="AN279" s="1037"/>
      <c r="AO279" s="1037"/>
      <c r="AP279" s="1037"/>
    </row>
    <row r="280" spans="1:42" s="226" customFormat="1">
      <c r="A280" s="2060"/>
      <c r="B280" s="1037"/>
      <c r="C280" s="1037"/>
      <c r="D280" s="1037"/>
      <c r="E280" s="1037"/>
      <c r="F280" s="1037"/>
      <c r="G280" s="1037"/>
      <c r="H280" s="1018"/>
      <c r="I280" s="1037"/>
      <c r="J280" s="1037"/>
      <c r="K280" s="1037"/>
      <c r="L280" s="1037"/>
      <c r="M280" s="1037"/>
      <c r="N280" s="1037"/>
      <c r="O280" s="1037"/>
      <c r="P280" s="1037"/>
      <c r="Q280" s="1037"/>
      <c r="R280" s="1037"/>
      <c r="S280" s="1037"/>
      <c r="T280" s="1037"/>
      <c r="U280" s="1037"/>
      <c r="V280" s="1037"/>
      <c r="W280" s="1037"/>
      <c r="X280" s="1037"/>
      <c r="Y280" s="1037"/>
      <c r="Z280" s="1037"/>
      <c r="AA280" s="1037"/>
      <c r="AB280" s="1037"/>
      <c r="AC280" s="1037"/>
      <c r="AD280" s="1037"/>
      <c r="AE280" s="1037"/>
      <c r="AF280" s="1037"/>
      <c r="AG280" s="1037"/>
      <c r="AH280" s="1037"/>
      <c r="AI280" s="1037"/>
      <c r="AJ280" s="1037"/>
      <c r="AK280" s="1037"/>
      <c r="AL280" s="1037"/>
      <c r="AM280" s="1037"/>
      <c r="AN280" s="1037"/>
      <c r="AO280" s="1037"/>
      <c r="AP280" s="1037"/>
    </row>
    <row r="281" spans="1:42" s="226" customFormat="1">
      <c r="A281" s="2060"/>
      <c r="B281" s="1037"/>
      <c r="C281" s="1037"/>
      <c r="D281" s="1037"/>
      <c r="E281" s="1037"/>
      <c r="F281" s="1037"/>
      <c r="G281" s="1037"/>
      <c r="H281" s="1018"/>
      <c r="I281" s="1037"/>
      <c r="J281" s="1037"/>
      <c r="K281" s="1037"/>
      <c r="L281" s="1037"/>
      <c r="M281" s="1037"/>
      <c r="N281" s="1037"/>
      <c r="O281" s="1037"/>
      <c r="P281" s="1037"/>
      <c r="Q281" s="1037"/>
      <c r="R281" s="1037"/>
      <c r="S281" s="1037"/>
      <c r="T281" s="1037"/>
      <c r="U281" s="1037"/>
      <c r="V281" s="1037"/>
      <c r="W281" s="1037"/>
      <c r="X281" s="1037"/>
      <c r="Y281" s="1037"/>
      <c r="Z281" s="1037"/>
      <c r="AA281" s="1037"/>
      <c r="AB281" s="1037"/>
      <c r="AC281" s="1037"/>
      <c r="AD281" s="1037"/>
      <c r="AE281" s="1037"/>
      <c r="AF281" s="1037"/>
      <c r="AG281" s="1037"/>
      <c r="AH281" s="1037"/>
      <c r="AI281" s="1037"/>
      <c r="AJ281" s="1037"/>
      <c r="AK281" s="1037"/>
      <c r="AL281" s="1037"/>
      <c r="AM281" s="1037"/>
      <c r="AN281" s="1037"/>
      <c r="AO281" s="1037"/>
      <c r="AP281" s="1037"/>
    </row>
    <row r="282" spans="1:42" s="226" customFormat="1">
      <c r="A282" s="2060"/>
      <c r="B282" s="1037"/>
      <c r="C282" s="1037"/>
      <c r="D282" s="1037"/>
      <c r="E282" s="1037"/>
      <c r="F282" s="1037"/>
      <c r="G282" s="1037"/>
      <c r="H282" s="1018"/>
      <c r="I282" s="1037"/>
      <c r="J282" s="1037"/>
      <c r="K282" s="1037"/>
      <c r="L282" s="1037"/>
      <c r="M282" s="1037"/>
      <c r="N282" s="1037"/>
      <c r="O282" s="1037"/>
      <c r="P282" s="1037"/>
      <c r="Q282" s="1037"/>
      <c r="R282" s="1037"/>
      <c r="S282" s="1037"/>
      <c r="T282" s="1037"/>
      <c r="U282" s="1037"/>
      <c r="V282" s="1037"/>
      <c r="W282" s="1037"/>
      <c r="X282" s="1037"/>
      <c r="Y282" s="1037"/>
      <c r="Z282" s="1037"/>
      <c r="AA282" s="1037"/>
      <c r="AB282" s="1037"/>
      <c r="AC282" s="1037"/>
      <c r="AD282" s="1037"/>
      <c r="AE282" s="1037"/>
      <c r="AF282" s="1037"/>
      <c r="AG282" s="1037"/>
      <c r="AH282" s="1037"/>
      <c r="AI282" s="1037"/>
      <c r="AJ282" s="1037"/>
      <c r="AK282" s="1037"/>
      <c r="AL282" s="1037"/>
      <c r="AM282" s="1037"/>
      <c r="AN282" s="1037"/>
      <c r="AO282" s="1037"/>
      <c r="AP282" s="1037"/>
    </row>
    <row r="283" spans="1:42" s="226" customFormat="1">
      <c r="A283" s="2060"/>
      <c r="B283" s="1037"/>
      <c r="C283" s="1037"/>
      <c r="D283" s="1037"/>
      <c r="E283" s="1037"/>
      <c r="F283" s="1037"/>
      <c r="G283" s="1037"/>
      <c r="H283" s="1018"/>
      <c r="I283" s="1037"/>
      <c r="J283" s="1037"/>
      <c r="K283" s="1037"/>
      <c r="L283" s="1037"/>
      <c r="M283" s="1037"/>
      <c r="N283" s="1037"/>
      <c r="O283" s="1037"/>
      <c r="P283" s="1037"/>
      <c r="Q283" s="1037"/>
      <c r="R283" s="1037"/>
      <c r="S283" s="1037"/>
      <c r="T283" s="1037"/>
      <c r="U283" s="1037"/>
      <c r="V283" s="1037"/>
      <c r="W283" s="1037"/>
      <c r="X283" s="1037"/>
      <c r="Y283" s="1037"/>
      <c r="Z283" s="1037"/>
      <c r="AA283" s="1037"/>
      <c r="AB283" s="1037"/>
      <c r="AC283" s="1037"/>
      <c r="AD283" s="1037"/>
      <c r="AE283" s="1037"/>
      <c r="AF283" s="1037"/>
      <c r="AG283" s="1037"/>
      <c r="AH283" s="1037"/>
      <c r="AI283" s="1037"/>
      <c r="AJ283" s="1037"/>
      <c r="AK283" s="1037"/>
      <c r="AL283" s="1037"/>
      <c r="AM283" s="1037"/>
      <c r="AN283" s="1037"/>
      <c r="AO283" s="1037"/>
      <c r="AP283" s="1037"/>
    </row>
    <row r="284" spans="1:42" s="226" customFormat="1">
      <c r="A284" s="2060"/>
      <c r="B284" s="1037"/>
      <c r="C284" s="1037"/>
      <c r="D284" s="1037"/>
      <c r="E284" s="1037"/>
      <c r="F284" s="1037"/>
      <c r="G284" s="1037"/>
      <c r="H284" s="1018"/>
      <c r="I284" s="1037"/>
      <c r="J284" s="1037"/>
      <c r="K284" s="1037"/>
      <c r="L284" s="1037"/>
      <c r="M284" s="1037"/>
      <c r="N284" s="1037"/>
      <c r="O284" s="1037"/>
      <c r="P284" s="1037"/>
      <c r="Q284" s="1037"/>
      <c r="R284" s="1037"/>
      <c r="S284" s="1037"/>
      <c r="T284" s="1037"/>
      <c r="U284" s="1037"/>
      <c r="V284" s="1037"/>
      <c r="W284" s="1037"/>
      <c r="X284" s="1037"/>
      <c r="Y284" s="1037"/>
      <c r="Z284" s="1037"/>
      <c r="AA284" s="1037"/>
      <c r="AB284" s="1037"/>
      <c r="AC284" s="1037"/>
      <c r="AD284" s="1037"/>
      <c r="AE284" s="1037"/>
      <c r="AF284" s="1037"/>
      <c r="AG284" s="1037"/>
      <c r="AH284" s="1037"/>
      <c r="AI284" s="1037"/>
      <c r="AJ284" s="1037"/>
      <c r="AK284" s="1037"/>
      <c r="AL284" s="1037"/>
      <c r="AM284" s="1037"/>
      <c r="AN284" s="1037"/>
      <c r="AO284" s="1037"/>
      <c r="AP284" s="1037"/>
    </row>
    <row r="285" spans="1:42" s="226" customFormat="1">
      <c r="A285" s="2060"/>
      <c r="B285" s="1037"/>
      <c r="C285" s="1037"/>
      <c r="D285" s="1037"/>
      <c r="E285" s="1037"/>
      <c r="F285" s="1037"/>
      <c r="G285" s="1037"/>
      <c r="H285" s="1018"/>
      <c r="I285" s="1037"/>
      <c r="J285" s="1037"/>
      <c r="K285" s="1037"/>
      <c r="L285" s="1037"/>
      <c r="M285" s="1037"/>
      <c r="N285" s="1037"/>
      <c r="O285" s="1037"/>
      <c r="P285" s="1037"/>
      <c r="Q285" s="1037"/>
      <c r="R285" s="1037"/>
      <c r="S285" s="1037"/>
      <c r="T285" s="1037"/>
      <c r="U285" s="1037"/>
      <c r="V285" s="1037"/>
      <c r="W285" s="1037"/>
      <c r="X285" s="1037"/>
      <c r="Y285" s="1037"/>
      <c r="Z285" s="1037"/>
      <c r="AA285" s="1037"/>
      <c r="AB285" s="1037"/>
      <c r="AC285" s="1037"/>
      <c r="AD285" s="1037"/>
      <c r="AE285" s="1037"/>
      <c r="AF285" s="1037"/>
      <c r="AG285" s="1037"/>
      <c r="AH285" s="1037"/>
      <c r="AI285" s="1037"/>
      <c r="AJ285" s="1037"/>
      <c r="AK285" s="1037"/>
      <c r="AL285" s="1037"/>
      <c r="AM285" s="1037"/>
      <c r="AN285" s="1037"/>
      <c r="AO285" s="1037"/>
      <c r="AP285" s="1037"/>
    </row>
    <row r="286" spans="1:42" s="226" customFormat="1">
      <c r="A286" s="2060"/>
      <c r="B286" s="1037"/>
      <c r="C286" s="1037"/>
      <c r="D286" s="1037"/>
      <c r="E286" s="1037"/>
      <c r="F286" s="1037"/>
      <c r="G286" s="1037"/>
      <c r="H286" s="1018"/>
      <c r="I286" s="1037"/>
      <c r="J286" s="1037"/>
      <c r="K286" s="1037"/>
      <c r="L286" s="1037"/>
      <c r="M286" s="1037"/>
      <c r="N286" s="1037"/>
      <c r="O286" s="1037"/>
      <c r="P286" s="1037"/>
      <c r="Q286" s="1037"/>
      <c r="R286" s="1037"/>
      <c r="S286" s="1037"/>
      <c r="T286" s="1037"/>
      <c r="U286" s="1037"/>
      <c r="V286" s="1037"/>
      <c r="W286" s="1037"/>
      <c r="X286" s="1037"/>
      <c r="Y286" s="1037"/>
      <c r="Z286" s="1037"/>
      <c r="AA286" s="1037"/>
      <c r="AB286" s="1037"/>
      <c r="AC286" s="1037"/>
      <c r="AD286" s="1037"/>
      <c r="AE286" s="1037"/>
      <c r="AF286" s="1037"/>
      <c r="AG286" s="1037"/>
      <c r="AH286" s="1037"/>
      <c r="AI286" s="1037"/>
      <c r="AJ286" s="1037"/>
      <c r="AK286" s="1037"/>
      <c r="AL286" s="1037"/>
      <c r="AM286" s="1037"/>
      <c r="AN286" s="1037"/>
      <c r="AO286" s="1037"/>
      <c r="AP286" s="1037"/>
    </row>
    <row r="287" spans="1:42" s="226" customFormat="1">
      <c r="A287" s="2060"/>
      <c r="B287" s="1037"/>
      <c r="C287" s="1037"/>
      <c r="D287" s="1037"/>
      <c r="E287" s="1037"/>
      <c r="F287" s="1037"/>
      <c r="G287" s="1037"/>
      <c r="H287" s="1018"/>
      <c r="I287" s="1037"/>
      <c r="J287" s="1037"/>
      <c r="K287" s="1037"/>
      <c r="L287" s="1037"/>
      <c r="M287" s="1037"/>
      <c r="N287" s="1037"/>
      <c r="O287" s="1037"/>
      <c r="P287" s="1037"/>
      <c r="Q287" s="1037"/>
      <c r="R287" s="1037"/>
      <c r="S287" s="1037"/>
      <c r="T287" s="1037"/>
      <c r="U287" s="1037"/>
      <c r="V287" s="1037"/>
      <c r="W287" s="1037"/>
      <c r="X287" s="1037"/>
      <c r="Y287" s="1037"/>
      <c r="Z287" s="1037"/>
      <c r="AA287" s="1037"/>
      <c r="AB287" s="1037"/>
      <c r="AC287" s="1037"/>
      <c r="AD287" s="1037"/>
      <c r="AE287" s="1037"/>
      <c r="AF287" s="1037"/>
      <c r="AG287" s="1037"/>
      <c r="AH287" s="1037"/>
      <c r="AI287" s="1037"/>
      <c r="AJ287" s="1037"/>
      <c r="AK287" s="1037"/>
      <c r="AL287" s="1037"/>
      <c r="AM287" s="1037"/>
      <c r="AN287" s="1037"/>
      <c r="AO287" s="1037"/>
      <c r="AP287" s="1037"/>
    </row>
    <row r="288" spans="1:42" s="226" customFormat="1">
      <c r="A288" s="2060"/>
      <c r="B288" s="1037"/>
      <c r="C288" s="1037"/>
      <c r="D288" s="1037"/>
      <c r="E288" s="1037"/>
      <c r="F288" s="1037"/>
      <c r="G288" s="1037"/>
      <c r="H288" s="1018"/>
      <c r="I288" s="1037"/>
      <c r="J288" s="1037"/>
      <c r="K288" s="1037"/>
      <c r="L288" s="1037"/>
      <c r="M288" s="1037"/>
      <c r="N288" s="1037"/>
      <c r="O288" s="1037"/>
      <c r="P288" s="1037"/>
      <c r="Q288" s="1037"/>
      <c r="R288" s="1037"/>
      <c r="S288" s="1037"/>
      <c r="T288" s="1037"/>
      <c r="U288" s="1037"/>
      <c r="V288" s="1037"/>
      <c r="W288" s="1037"/>
      <c r="X288" s="1037"/>
      <c r="Y288" s="1037"/>
      <c r="Z288" s="1037"/>
      <c r="AA288" s="1037"/>
      <c r="AB288" s="1037"/>
      <c r="AC288" s="1037"/>
      <c r="AD288" s="1037"/>
      <c r="AE288" s="1037"/>
      <c r="AF288" s="1037"/>
      <c r="AG288" s="1037"/>
      <c r="AH288" s="1037"/>
      <c r="AI288" s="1037"/>
      <c r="AJ288" s="1037"/>
      <c r="AK288" s="1037"/>
      <c r="AL288" s="1037"/>
      <c r="AM288" s="1037"/>
      <c r="AN288" s="1037"/>
      <c r="AO288" s="1037"/>
      <c r="AP288" s="1037"/>
    </row>
    <row r="289" spans="1:42" s="226" customFormat="1">
      <c r="A289" s="2060"/>
      <c r="B289" s="1037"/>
      <c r="C289" s="1037"/>
      <c r="D289" s="1037"/>
      <c r="E289" s="1037"/>
      <c r="F289" s="1037"/>
      <c r="G289" s="1037"/>
      <c r="H289" s="1018"/>
      <c r="I289" s="1037"/>
      <c r="J289" s="1037"/>
      <c r="K289" s="1037"/>
      <c r="L289" s="1037"/>
      <c r="M289" s="1037"/>
      <c r="N289" s="1037"/>
      <c r="O289" s="1037"/>
      <c r="P289" s="1037"/>
      <c r="Q289" s="1037"/>
      <c r="R289" s="1037"/>
      <c r="S289" s="1037"/>
      <c r="T289" s="1037"/>
      <c r="U289" s="1037"/>
      <c r="V289" s="1037"/>
      <c r="W289" s="1037"/>
      <c r="X289" s="1037"/>
      <c r="Y289" s="1037"/>
      <c r="Z289" s="1037"/>
      <c r="AA289" s="1037"/>
      <c r="AB289" s="1037"/>
      <c r="AC289" s="1037"/>
      <c r="AD289" s="1037"/>
      <c r="AE289" s="1037"/>
      <c r="AF289" s="1037"/>
      <c r="AG289" s="1037"/>
      <c r="AH289" s="1037"/>
      <c r="AI289" s="1037"/>
      <c r="AJ289" s="1037"/>
      <c r="AK289" s="1037"/>
      <c r="AL289" s="1037"/>
      <c r="AM289" s="1037"/>
      <c r="AN289" s="1037"/>
      <c r="AO289" s="1037"/>
      <c r="AP289" s="1037"/>
    </row>
    <row r="290" spans="1:42" s="226" customFormat="1">
      <c r="A290" s="2060"/>
      <c r="B290" s="1037"/>
      <c r="C290" s="1037"/>
      <c r="D290" s="1037"/>
      <c r="E290" s="1037"/>
      <c r="F290" s="1037"/>
      <c r="G290" s="1037"/>
      <c r="H290" s="1018"/>
      <c r="I290" s="1037"/>
      <c r="J290" s="1037"/>
      <c r="K290" s="1037"/>
      <c r="L290" s="1037"/>
      <c r="M290" s="1037"/>
      <c r="N290" s="1037"/>
      <c r="O290" s="1037"/>
      <c r="P290" s="1037"/>
      <c r="Q290" s="1037"/>
      <c r="R290" s="1037"/>
      <c r="S290" s="1037"/>
      <c r="T290" s="1037"/>
      <c r="U290" s="1037"/>
      <c r="V290" s="1037"/>
      <c r="W290" s="1037"/>
      <c r="X290" s="1037"/>
      <c r="Y290" s="1037"/>
      <c r="Z290" s="1037"/>
      <c r="AA290" s="1037"/>
      <c r="AB290" s="1037"/>
      <c r="AC290" s="1037"/>
      <c r="AD290" s="1037"/>
      <c r="AE290" s="1037"/>
      <c r="AF290" s="1037"/>
      <c r="AG290" s="1037"/>
      <c r="AH290" s="1037"/>
      <c r="AI290" s="1037"/>
      <c r="AJ290" s="1037"/>
      <c r="AK290" s="1037"/>
      <c r="AL290" s="1037"/>
      <c r="AM290" s="1037"/>
      <c r="AN290" s="1037"/>
      <c r="AO290" s="1037"/>
      <c r="AP290" s="1037"/>
    </row>
    <row r="291" spans="1:42" s="226" customFormat="1">
      <c r="A291" s="2060"/>
      <c r="B291" s="1037"/>
      <c r="C291" s="1037"/>
      <c r="D291" s="1037"/>
      <c r="E291" s="1037"/>
      <c r="F291" s="1037"/>
      <c r="G291" s="1037"/>
      <c r="H291" s="1018"/>
      <c r="I291" s="1037"/>
      <c r="J291" s="1037"/>
      <c r="K291" s="1037"/>
      <c r="L291" s="1037"/>
      <c r="M291" s="1037"/>
      <c r="N291" s="1037"/>
      <c r="O291" s="1037"/>
      <c r="P291" s="1037"/>
      <c r="Q291" s="1037"/>
      <c r="R291" s="1037"/>
      <c r="S291" s="1037"/>
      <c r="T291" s="1037"/>
      <c r="U291" s="1037"/>
      <c r="V291" s="1037"/>
      <c r="W291" s="1037"/>
      <c r="X291" s="1037"/>
      <c r="Y291" s="1037"/>
      <c r="Z291" s="1037"/>
      <c r="AA291" s="1037"/>
      <c r="AB291" s="1037"/>
      <c r="AC291" s="1037"/>
      <c r="AD291" s="1037"/>
      <c r="AE291" s="1037"/>
      <c r="AF291" s="1037"/>
      <c r="AG291" s="1037"/>
      <c r="AH291" s="1037"/>
      <c r="AI291" s="1037"/>
      <c r="AJ291" s="1037"/>
      <c r="AK291" s="1037"/>
      <c r="AL291" s="1037"/>
      <c r="AM291" s="1037"/>
      <c r="AN291" s="1037"/>
      <c r="AO291" s="1037"/>
      <c r="AP291" s="1037"/>
    </row>
    <row r="292" spans="1:42" s="226" customFormat="1">
      <c r="A292" s="2060"/>
      <c r="B292" s="1037"/>
      <c r="C292" s="1037"/>
      <c r="D292" s="1037"/>
      <c r="E292" s="1037"/>
      <c r="F292" s="1037"/>
      <c r="G292" s="1037"/>
      <c r="H292" s="1018"/>
      <c r="I292" s="1037"/>
      <c r="J292" s="1037"/>
      <c r="K292" s="1037"/>
      <c r="L292" s="1037"/>
      <c r="M292" s="1037"/>
      <c r="N292" s="1037"/>
      <c r="O292" s="1037"/>
      <c r="P292" s="1037"/>
      <c r="Q292" s="1037"/>
      <c r="R292" s="1037"/>
      <c r="S292" s="1037"/>
      <c r="T292" s="1037"/>
      <c r="U292" s="1037"/>
      <c r="V292" s="1037"/>
      <c r="W292" s="1037"/>
      <c r="X292" s="1037"/>
      <c r="Y292" s="1037"/>
      <c r="Z292" s="1037"/>
      <c r="AA292" s="1037"/>
      <c r="AB292" s="1037"/>
      <c r="AC292" s="1037"/>
      <c r="AD292" s="1037"/>
      <c r="AE292" s="1037"/>
      <c r="AF292" s="1037"/>
      <c r="AG292" s="1037"/>
      <c r="AH292" s="1037"/>
      <c r="AI292" s="1037"/>
      <c r="AJ292" s="1037"/>
      <c r="AK292" s="1037"/>
      <c r="AL292" s="1037"/>
      <c r="AM292" s="1037"/>
      <c r="AN292" s="1037"/>
      <c r="AO292" s="1037"/>
      <c r="AP292" s="1037"/>
    </row>
    <row r="293" spans="1:42" s="226" customFormat="1">
      <c r="A293" s="2060"/>
      <c r="B293" s="1037"/>
      <c r="C293" s="1037"/>
      <c r="D293" s="1037"/>
      <c r="E293" s="1037"/>
      <c r="F293" s="1037"/>
      <c r="G293" s="1037"/>
      <c r="H293" s="1018"/>
      <c r="I293" s="1037"/>
      <c r="J293" s="1037"/>
      <c r="K293" s="1037"/>
      <c r="L293" s="1037"/>
      <c r="M293" s="1037"/>
      <c r="N293" s="1037"/>
      <c r="O293" s="1037"/>
      <c r="P293" s="1037"/>
      <c r="Q293" s="1037"/>
      <c r="R293" s="1037"/>
      <c r="S293" s="1037"/>
      <c r="T293" s="1037"/>
      <c r="U293" s="1037"/>
      <c r="V293" s="1037"/>
      <c r="W293" s="1037"/>
      <c r="X293" s="1037"/>
      <c r="Y293" s="1037"/>
      <c r="Z293" s="1037"/>
      <c r="AA293" s="1037"/>
      <c r="AB293" s="1037"/>
      <c r="AC293" s="1037"/>
      <c r="AD293" s="1037"/>
      <c r="AE293" s="1037"/>
      <c r="AF293" s="1037"/>
      <c r="AG293" s="1037"/>
      <c r="AH293" s="1037"/>
      <c r="AI293" s="1037"/>
      <c r="AJ293" s="1037"/>
      <c r="AK293" s="1037"/>
      <c r="AL293" s="1037"/>
      <c r="AM293" s="1037"/>
      <c r="AN293" s="1037"/>
      <c r="AO293" s="1037"/>
      <c r="AP293" s="1037"/>
    </row>
    <row r="294" spans="1:42" s="226" customFormat="1">
      <c r="A294" s="2060"/>
      <c r="B294" s="1037"/>
      <c r="C294" s="1037"/>
      <c r="D294" s="1037"/>
      <c r="E294" s="1037"/>
      <c r="F294" s="1037"/>
      <c r="G294" s="1037"/>
      <c r="H294" s="1018"/>
      <c r="I294" s="1037"/>
      <c r="J294" s="1037"/>
      <c r="K294" s="1037"/>
      <c r="L294" s="1037"/>
      <c r="M294" s="1037"/>
      <c r="N294" s="1037"/>
      <c r="O294" s="1037"/>
      <c r="P294" s="1037"/>
      <c r="Q294" s="1037"/>
      <c r="R294" s="1037"/>
      <c r="S294" s="1037"/>
      <c r="T294" s="1037"/>
      <c r="U294" s="1037"/>
      <c r="V294" s="1037"/>
      <c r="W294" s="1037"/>
      <c r="X294" s="1037"/>
      <c r="Y294" s="1037"/>
      <c r="Z294" s="1037"/>
      <c r="AA294" s="1037"/>
      <c r="AB294" s="1037"/>
      <c r="AC294" s="1037"/>
      <c r="AD294" s="1037"/>
      <c r="AE294" s="1037"/>
      <c r="AF294" s="1037"/>
      <c r="AG294" s="1037"/>
      <c r="AH294" s="1037"/>
      <c r="AI294" s="1037"/>
      <c r="AJ294" s="1037"/>
      <c r="AK294" s="1037"/>
      <c r="AL294" s="1037"/>
      <c r="AM294" s="1037"/>
      <c r="AN294" s="1037"/>
      <c r="AO294" s="1037"/>
      <c r="AP294" s="1037"/>
    </row>
    <row r="295" spans="1:42" s="226" customFormat="1">
      <c r="A295" s="2060"/>
      <c r="B295" s="1037"/>
      <c r="C295" s="1037"/>
      <c r="D295" s="1037"/>
      <c r="E295" s="1037"/>
      <c r="F295" s="1037"/>
      <c r="G295" s="1037"/>
      <c r="H295" s="1018"/>
      <c r="I295" s="1037"/>
      <c r="J295" s="1037"/>
      <c r="K295" s="1037"/>
      <c r="L295" s="1037"/>
      <c r="M295" s="1037"/>
      <c r="N295" s="1037"/>
      <c r="O295" s="1037"/>
      <c r="P295" s="1037"/>
      <c r="Q295" s="1037"/>
      <c r="R295" s="1037"/>
      <c r="S295" s="1037"/>
      <c r="T295" s="1037"/>
      <c r="U295" s="1037"/>
      <c r="V295" s="1037"/>
      <c r="W295" s="1037"/>
      <c r="X295" s="1037"/>
      <c r="Y295" s="1037"/>
      <c r="Z295" s="1037"/>
      <c r="AA295" s="1037"/>
      <c r="AB295" s="1037"/>
      <c r="AC295" s="1037"/>
      <c r="AD295" s="1037"/>
      <c r="AE295" s="1037"/>
      <c r="AF295" s="1037"/>
      <c r="AG295" s="1037"/>
      <c r="AH295" s="1037"/>
      <c r="AI295" s="1037"/>
      <c r="AJ295" s="1037"/>
      <c r="AK295" s="1037"/>
      <c r="AL295" s="1037"/>
      <c r="AM295" s="1037"/>
      <c r="AN295" s="1037"/>
      <c r="AO295" s="1037"/>
      <c r="AP295" s="1037"/>
    </row>
    <row r="296" spans="1:42" s="226" customFormat="1">
      <c r="A296" s="2060"/>
      <c r="B296" s="1037"/>
      <c r="C296" s="1037"/>
      <c r="D296" s="1037"/>
      <c r="E296" s="1037"/>
      <c r="F296" s="1037"/>
      <c r="G296" s="1037"/>
      <c r="H296" s="1018"/>
      <c r="I296" s="1037"/>
      <c r="J296" s="1037"/>
      <c r="K296" s="1037"/>
      <c r="L296" s="1037"/>
      <c r="M296" s="1037"/>
      <c r="N296" s="1037"/>
      <c r="O296" s="1037"/>
      <c r="P296" s="1037"/>
      <c r="Q296" s="1037"/>
      <c r="R296" s="1037"/>
      <c r="S296" s="1037"/>
      <c r="T296" s="1037"/>
      <c r="U296" s="1037"/>
      <c r="V296" s="1037"/>
      <c r="W296" s="1037"/>
      <c r="X296" s="1037"/>
      <c r="Y296" s="1037"/>
      <c r="Z296" s="1037"/>
      <c r="AA296" s="1037"/>
      <c r="AB296" s="1037"/>
      <c r="AC296" s="1037"/>
      <c r="AD296" s="1037"/>
      <c r="AE296" s="1037"/>
      <c r="AF296" s="1037"/>
      <c r="AG296" s="1037"/>
      <c r="AH296" s="1037"/>
      <c r="AI296" s="1037"/>
      <c r="AJ296" s="1037"/>
      <c r="AK296" s="1037"/>
      <c r="AL296" s="1037"/>
      <c r="AM296" s="1037"/>
      <c r="AN296" s="1037"/>
      <c r="AO296" s="1037"/>
      <c r="AP296" s="1037"/>
    </row>
    <row r="297" spans="1:42" s="226" customFormat="1">
      <c r="A297" s="2060"/>
      <c r="B297" s="1037"/>
      <c r="C297" s="1037"/>
      <c r="D297" s="1037"/>
      <c r="E297" s="1037"/>
      <c r="F297" s="1037"/>
      <c r="G297" s="1037"/>
      <c r="H297" s="1018"/>
      <c r="I297" s="1037"/>
      <c r="J297" s="1037"/>
      <c r="K297" s="1037"/>
      <c r="L297" s="1037"/>
      <c r="M297" s="1037"/>
      <c r="N297" s="1037"/>
      <c r="O297" s="1037"/>
      <c r="P297" s="1037"/>
      <c r="Q297" s="1037"/>
      <c r="R297" s="1037"/>
      <c r="S297" s="1037"/>
      <c r="T297" s="1037"/>
      <c r="U297" s="1037"/>
      <c r="V297" s="1037"/>
      <c r="W297" s="1037"/>
      <c r="X297" s="1037"/>
      <c r="Y297" s="1037"/>
      <c r="Z297" s="1037"/>
      <c r="AA297" s="1037"/>
      <c r="AB297" s="1037"/>
      <c r="AC297" s="1037"/>
      <c r="AD297" s="1037"/>
      <c r="AE297" s="1037"/>
      <c r="AF297" s="1037"/>
      <c r="AG297" s="1037"/>
      <c r="AH297" s="1037"/>
      <c r="AI297" s="1037"/>
      <c r="AJ297" s="1037"/>
      <c r="AK297" s="1037"/>
      <c r="AL297" s="1037"/>
      <c r="AM297" s="1037"/>
      <c r="AN297" s="1037"/>
      <c r="AO297" s="1037"/>
      <c r="AP297" s="1037"/>
    </row>
    <row r="298" spans="1:42" s="226" customFormat="1">
      <c r="A298" s="2060"/>
      <c r="B298" s="1037"/>
      <c r="C298" s="1037"/>
      <c r="D298" s="1037"/>
      <c r="E298" s="1037"/>
      <c r="F298" s="1037"/>
      <c r="G298" s="1037"/>
      <c r="H298" s="1018"/>
      <c r="I298" s="1037"/>
      <c r="J298" s="1037"/>
      <c r="K298" s="1037"/>
      <c r="L298" s="1037"/>
      <c r="M298" s="1037"/>
      <c r="N298" s="1037"/>
      <c r="O298" s="1037"/>
      <c r="P298" s="1037"/>
      <c r="Q298" s="1037"/>
      <c r="R298" s="1037"/>
      <c r="S298" s="1037"/>
      <c r="T298" s="1037"/>
      <c r="U298" s="1037"/>
      <c r="V298" s="1037"/>
      <c r="W298" s="1037"/>
      <c r="X298" s="1037"/>
      <c r="Y298" s="1037"/>
      <c r="Z298" s="1037"/>
      <c r="AA298" s="1037"/>
      <c r="AB298" s="1037"/>
      <c r="AC298" s="1037"/>
      <c r="AD298" s="1037"/>
      <c r="AE298" s="1037"/>
      <c r="AF298" s="1037"/>
      <c r="AG298" s="1037"/>
      <c r="AH298" s="1037"/>
      <c r="AI298" s="1037"/>
      <c r="AJ298" s="1037"/>
      <c r="AK298" s="1037"/>
      <c r="AL298" s="1037"/>
      <c r="AM298" s="1037"/>
      <c r="AN298" s="1037"/>
      <c r="AO298" s="1037"/>
      <c r="AP298" s="1037"/>
    </row>
    <row r="299" spans="1:42" s="226" customFormat="1">
      <c r="A299" s="2060"/>
      <c r="B299" s="1037"/>
      <c r="C299" s="1037"/>
      <c r="D299" s="1037"/>
      <c r="E299" s="1037"/>
      <c r="F299" s="1037"/>
      <c r="G299" s="1037"/>
      <c r="H299" s="1018"/>
      <c r="I299" s="1037"/>
      <c r="J299" s="1037"/>
      <c r="K299" s="1037"/>
      <c r="L299" s="1037"/>
      <c r="M299" s="1037"/>
      <c r="N299" s="1037"/>
      <c r="O299" s="1037"/>
      <c r="P299" s="1037"/>
      <c r="Q299" s="1037"/>
      <c r="R299" s="1037"/>
      <c r="S299" s="1037"/>
      <c r="T299" s="1037"/>
      <c r="U299" s="1037"/>
      <c r="V299" s="1037"/>
      <c r="W299" s="1037"/>
      <c r="X299" s="1037"/>
      <c r="Y299" s="1037"/>
      <c r="Z299" s="1037"/>
      <c r="AA299" s="1037"/>
      <c r="AB299" s="1037"/>
      <c r="AC299" s="1037"/>
      <c r="AD299" s="1037"/>
      <c r="AE299" s="1037"/>
      <c r="AF299" s="1037"/>
      <c r="AG299" s="1037"/>
      <c r="AH299" s="1037"/>
      <c r="AI299" s="1037"/>
      <c r="AJ299" s="1037"/>
      <c r="AK299" s="1037"/>
      <c r="AL299" s="1037"/>
      <c r="AM299" s="1037"/>
      <c r="AN299" s="1037"/>
      <c r="AO299" s="1037"/>
      <c r="AP299" s="1037"/>
    </row>
    <row r="300" spans="1:42" s="226" customFormat="1">
      <c r="A300" s="2060"/>
      <c r="B300" s="1037"/>
      <c r="C300" s="1037"/>
      <c r="D300" s="1037"/>
      <c r="E300" s="1037"/>
      <c r="F300" s="1037"/>
      <c r="G300" s="1037"/>
      <c r="H300" s="1018"/>
      <c r="I300" s="1037"/>
      <c r="J300" s="1037"/>
      <c r="K300" s="1037"/>
      <c r="L300" s="1037"/>
      <c r="M300" s="1037"/>
      <c r="N300" s="1037"/>
      <c r="O300" s="1037"/>
      <c r="P300" s="1037"/>
      <c r="Q300" s="1037"/>
      <c r="R300" s="1037"/>
      <c r="S300" s="1037"/>
      <c r="T300" s="1037"/>
      <c r="U300" s="1037"/>
      <c r="V300" s="1037"/>
      <c r="W300" s="1037"/>
      <c r="X300" s="1037"/>
      <c r="Y300" s="1037"/>
      <c r="Z300" s="1037"/>
      <c r="AA300" s="1037"/>
      <c r="AB300" s="1037"/>
      <c r="AC300" s="1037"/>
      <c r="AD300" s="1037"/>
      <c r="AE300" s="1037"/>
      <c r="AF300" s="1037"/>
      <c r="AG300" s="1037"/>
      <c r="AH300" s="1037"/>
      <c r="AI300" s="1037"/>
      <c r="AJ300" s="1037"/>
      <c r="AK300" s="1037"/>
      <c r="AL300" s="1037"/>
      <c r="AM300" s="1037"/>
      <c r="AN300" s="1037"/>
      <c r="AO300" s="1037"/>
      <c r="AP300" s="1037"/>
    </row>
    <row r="301" spans="1:42" s="226" customFormat="1">
      <c r="A301" s="2060"/>
      <c r="B301" s="1037"/>
      <c r="C301" s="1037"/>
      <c r="D301" s="1037"/>
      <c r="E301" s="1037"/>
      <c r="F301" s="1037"/>
      <c r="G301" s="1037"/>
      <c r="H301" s="1018"/>
      <c r="I301" s="1037"/>
      <c r="J301" s="1037"/>
      <c r="K301" s="1037"/>
      <c r="L301" s="1037"/>
      <c r="M301" s="1037"/>
      <c r="N301" s="1037"/>
      <c r="O301" s="1037"/>
      <c r="P301" s="1037"/>
      <c r="Q301" s="1037"/>
      <c r="R301" s="1037"/>
      <c r="S301" s="1037"/>
      <c r="T301" s="1037"/>
      <c r="U301" s="1037"/>
      <c r="V301" s="1037"/>
      <c r="W301" s="1037"/>
      <c r="X301" s="1037"/>
      <c r="Y301" s="1037"/>
      <c r="Z301" s="1037"/>
      <c r="AA301" s="1037"/>
      <c r="AB301" s="1037"/>
      <c r="AC301" s="1037"/>
      <c r="AD301" s="1037"/>
      <c r="AE301" s="1037"/>
      <c r="AF301" s="1037"/>
      <c r="AG301" s="1037"/>
      <c r="AH301" s="1037"/>
      <c r="AI301" s="1037"/>
      <c r="AJ301" s="1037"/>
      <c r="AK301" s="1037"/>
      <c r="AL301" s="1037"/>
      <c r="AM301" s="1037"/>
      <c r="AN301" s="1037"/>
      <c r="AO301" s="1037"/>
      <c r="AP301" s="1037"/>
    </row>
    <row r="302" spans="1:42" s="226" customFormat="1">
      <c r="A302" s="2060"/>
      <c r="B302" s="1037"/>
      <c r="C302" s="1037"/>
      <c r="D302" s="1037"/>
      <c r="E302" s="1037"/>
      <c r="F302" s="1037"/>
      <c r="G302" s="1037"/>
      <c r="H302" s="1018"/>
      <c r="I302" s="1037"/>
      <c r="J302" s="1037"/>
      <c r="K302" s="1037"/>
      <c r="L302" s="1037"/>
      <c r="M302" s="1037"/>
      <c r="N302" s="1037"/>
      <c r="O302" s="1037"/>
      <c r="P302" s="1037"/>
      <c r="Q302" s="1037"/>
      <c r="R302" s="1037"/>
      <c r="S302" s="1037"/>
      <c r="T302" s="1037"/>
      <c r="U302" s="1037"/>
      <c r="V302" s="1037"/>
      <c r="W302" s="1037"/>
      <c r="X302" s="1037"/>
      <c r="Y302" s="1037"/>
      <c r="Z302" s="1037"/>
      <c r="AA302" s="1037"/>
      <c r="AB302" s="1037"/>
      <c r="AC302" s="1037"/>
      <c r="AD302" s="1037"/>
      <c r="AE302" s="1037"/>
      <c r="AF302" s="1037"/>
      <c r="AG302" s="1037"/>
      <c r="AH302" s="1037"/>
      <c r="AI302" s="1037"/>
      <c r="AJ302" s="1037"/>
      <c r="AK302" s="1037"/>
      <c r="AL302" s="1037"/>
      <c r="AM302" s="1037"/>
      <c r="AN302" s="1037"/>
      <c r="AO302" s="1037"/>
      <c r="AP302" s="1037"/>
    </row>
    <row r="303" spans="1:42" s="226" customFormat="1">
      <c r="A303" s="2060"/>
      <c r="B303" s="1037"/>
      <c r="C303" s="1037"/>
      <c r="D303" s="1037"/>
      <c r="E303" s="1037"/>
      <c r="F303" s="1037"/>
      <c r="G303" s="1037"/>
      <c r="H303" s="1018"/>
      <c r="I303" s="1037"/>
      <c r="J303" s="1037"/>
      <c r="K303" s="1037"/>
      <c r="L303" s="1037"/>
      <c r="M303" s="1037"/>
      <c r="N303" s="1037"/>
      <c r="O303" s="1037"/>
      <c r="P303" s="1037"/>
      <c r="Q303" s="1037"/>
      <c r="R303" s="1037"/>
      <c r="S303" s="1037"/>
      <c r="T303" s="1037"/>
      <c r="U303" s="1037"/>
      <c r="V303" s="1037"/>
      <c r="W303" s="1037"/>
      <c r="X303" s="1037"/>
      <c r="Y303" s="1037"/>
      <c r="Z303" s="1037"/>
      <c r="AA303" s="1037"/>
      <c r="AB303" s="1037"/>
      <c r="AC303" s="1037"/>
      <c r="AD303" s="1037"/>
      <c r="AE303" s="1037"/>
      <c r="AF303" s="1037"/>
      <c r="AG303" s="1037"/>
      <c r="AH303" s="1037"/>
      <c r="AI303" s="1037"/>
      <c r="AJ303" s="1037"/>
      <c r="AK303" s="1037"/>
      <c r="AL303" s="1037"/>
      <c r="AM303" s="1037"/>
      <c r="AN303" s="1037"/>
      <c r="AO303" s="1037"/>
      <c r="AP303" s="1037"/>
    </row>
    <row r="304" spans="1:42" s="226" customFormat="1">
      <c r="A304" s="2060"/>
      <c r="B304" s="1037"/>
      <c r="C304" s="1037"/>
      <c r="D304" s="1037"/>
      <c r="E304" s="1037"/>
      <c r="F304" s="1037"/>
      <c r="G304" s="1037"/>
      <c r="H304" s="1018"/>
      <c r="I304" s="1037"/>
      <c r="J304" s="1037"/>
      <c r="K304" s="1037"/>
      <c r="L304" s="1037"/>
      <c r="M304" s="1037"/>
      <c r="N304" s="1037"/>
      <c r="O304" s="1037"/>
      <c r="P304" s="1037"/>
      <c r="Q304" s="1037"/>
      <c r="R304" s="1037"/>
      <c r="S304" s="1037"/>
      <c r="T304" s="1037"/>
      <c r="U304" s="1037"/>
      <c r="V304" s="1037"/>
      <c r="W304" s="1037"/>
      <c r="X304" s="1037"/>
      <c r="Y304" s="1037"/>
      <c r="Z304" s="1037"/>
      <c r="AA304" s="1037"/>
      <c r="AB304" s="1037"/>
      <c r="AC304" s="1037"/>
      <c r="AD304" s="1037"/>
      <c r="AE304" s="1037"/>
      <c r="AF304" s="1037"/>
      <c r="AG304" s="1037"/>
      <c r="AH304" s="1037"/>
      <c r="AI304" s="1037"/>
      <c r="AJ304" s="1037"/>
      <c r="AK304" s="1037"/>
      <c r="AL304" s="1037"/>
      <c r="AM304" s="1037"/>
      <c r="AN304" s="1037"/>
      <c r="AO304" s="1037"/>
      <c r="AP304" s="1037"/>
    </row>
    <row r="305" spans="1:42" s="226" customFormat="1">
      <c r="A305" s="2060"/>
      <c r="B305" s="1037"/>
      <c r="C305" s="1037"/>
      <c r="D305" s="1037"/>
      <c r="E305" s="1037"/>
      <c r="F305" s="1037"/>
      <c r="G305" s="1037"/>
      <c r="H305" s="1018"/>
      <c r="I305" s="1037"/>
      <c r="J305" s="1037"/>
      <c r="K305" s="1037"/>
      <c r="L305" s="1037"/>
      <c r="M305" s="1037"/>
      <c r="N305" s="1037"/>
      <c r="O305" s="1037"/>
      <c r="P305" s="1037"/>
      <c r="Q305" s="1037"/>
      <c r="R305" s="1037"/>
      <c r="S305" s="1037"/>
      <c r="T305" s="1037"/>
      <c r="U305" s="1037"/>
      <c r="V305" s="1037"/>
      <c r="W305" s="1037"/>
      <c r="X305" s="1037"/>
      <c r="Y305" s="1037"/>
      <c r="Z305" s="1037"/>
      <c r="AA305" s="1037"/>
      <c r="AB305" s="1037"/>
      <c r="AC305" s="1037"/>
      <c r="AD305" s="1037"/>
      <c r="AE305" s="1037"/>
      <c r="AF305" s="1037"/>
      <c r="AG305" s="1037"/>
      <c r="AH305" s="1037"/>
      <c r="AI305" s="1037"/>
      <c r="AJ305" s="1037"/>
      <c r="AK305" s="1037"/>
      <c r="AL305" s="1037"/>
      <c r="AM305" s="1037"/>
      <c r="AN305" s="1037"/>
      <c r="AO305" s="1037"/>
      <c r="AP305" s="1037"/>
    </row>
    <row r="306" spans="1:42" s="226" customFormat="1">
      <c r="A306" s="2060"/>
      <c r="B306" s="1037"/>
      <c r="C306" s="1037"/>
      <c r="D306" s="1037"/>
      <c r="E306" s="1037"/>
      <c r="F306" s="1037"/>
      <c r="G306" s="1037"/>
      <c r="H306" s="1018"/>
      <c r="I306" s="1037"/>
      <c r="J306" s="1037"/>
      <c r="K306" s="1037"/>
      <c r="L306" s="1037"/>
      <c r="M306" s="1037"/>
      <c r="N306" s="1037"/>
      <c r="O306" s="1037"/>
      <c r="P306" s="1037"/>
      <c r="Q306" s="1037"/>
      <c r="R306" s="1037"/>
      <c r="S306" s="1037"/>
      <c r="T306" s="1037"/>
      <c r="U306" s="1037"/>
      <c r="V306" s="1037"/>
      <c r="W306" s="1037"/>
      <c r="X306" s="1037"/>
      <c r="Y306" s="1037"/>
      <c r="Z306" s="1037"/>
      <c r="AA306" s="1037"/>
      <c r="AB306" s="1037"/>
      <c r="AC306" s="1037"/>
      <c r="AD306" s="1037"/>
      <c r="AE306" s="1037"/>
      <c r="AF306" s="1037"/>
      <c r="AG306" s="1037"/>
      <c r="AH306" s="1037"/>
      <c r="AI306" s="1037"/>
      <c r="AJ306" s="1037"/>
      <c r="AK306" s="1037"/>
      <c r="AL306" s="1037"/>
      <c r="AM306" s="1037"/>
      <c r="AN306" s="1037"/>
      <c r="AO306" s="1037"/>
      <c r="AP306" s="1037"/>
    </row>
    <row r="307" spans="1:42" s="226" customFormat="1">
      <c r="A307" s="2060"/>
      <c r="B307" s="1037"/>
      <c r="C307" s="1037"/>
      <c r="D307" s="1037"/>
      <c r="E307" s="1037"/>
      <c r="F307" s="1037"/>
      <c r="G307" s="1037"/>
      <c r="H307" s="1018"/>
      <c r="I307" s="1037"/>
      <c r="J307" s="1037"/>
      <c r="K307" s="1037"/>
      <c r="L307" s="1037"/>
      <c r="M307" s="1037"/>
      <c r="N307" s="1037"/>
      <c r="O307" s="1037"/>
      <c r="P307" s="1037"/>
      <c r="Q307" s="1037"/>
      <c r="R307" s="1037"/>
      <c r="S307" s="1037"/>
      <c r="T307" s="1037"/>
      <c r="U307" s="1037"/>
      <c r="V307" s="1037"/>
      <c r="W307" s="1037"/>
      <c r="X307" s="1037"/>
      <c r="Y307" s="1037"/>
      <c r="Z307" s="1037"/>
      <c r="AA307" s="1037"/>
      <c r="AB307" s="1037"/>
      <c r="AC307" s="1037"/>
      <c r="AD307" s="1037"/>
      <c r="AE307" s="1037"/>
      <c r="AF307" s="1037"/>
      <c r="AG307" s="1037"/>
      <c r="AH307" s="1037"/>
      <c r="AI307" s="1037"/>
      <c r="AJ307" s="1037"/>
      <c r="AK307" s="1037"/>
      <c r="AL307" s="1037"/>
      <c r="AM307" s="1037"/>
      <c r="AN307" s="1037"/>
      <c r="AO307" s="1037"/>
      <c r="AP307" s="1037"/>
    </row>
    <row r="308" spans="1:42" s="226" customFormat="1">
      <c r="A308" s="2060"/>
      <c r="B308" s="1037"/>
      <c r="C308" s="1037"/>
      <c r="D308" s="1037"/>
      <c r="E308" s="1037"/>
      <c r="F308" s="1037"/>
      <c r="G308" s="1037"/>
      <c r="H308" s="1018"/>
      <c r="I308" s="1037"/>
      <c r="J308" s="1037"/>
      <c r="K308" s="1037"/>
      <c r="L308" s="1037"/>
      <c r="M308" s="1037"/>
      <c r="N308" s="1037"/>
      <c r="O308" s="1037"/>
      <c r="P308" s="1037"/>
      <c r="Q308" s="1037"/>
      <c r="R308" s="1037"/>
      <c r="S308" s="1037"/>
      <c r="T308" s="1037"/>
      <c r="U308" s="1037"/>
      <c r="V308" s="1037"/>
      <c r="W308" s="1037"/>
      <c r="X308" s="1037"/>
      <c r="Y308" s="1037"/>
      <c r="Z308" s="1037"/>
      <c r="AA308" s="1037"/>
      <c r="AB308" s="1037"/>
      <c r="AC308" s="1037"/>
      <c r="AD308" s="1037"/>
      <c r="AE308" s="1037"/>
      <c r="AF308" s="1037"/>
      <c r="AG308" s="1037"/>
      <c r="AH308" s="1037"/>
      <c r="AI308" s="1037"/>
      <c r="AJ308" s="1037"/>
      <c r="AK308" s="1037"/>
      <c r="AL308" s="1037"/>
      <c r="AM308" s="1037"/>
      <c r="AN308" s="1037"/>
      <c r="AO308" s="1037"/>
      <c r="AP308" s="1037"/>
    </row>
    <row r="309" spans="1:42" s="226" customFormat="1">
      <c r="A309" s="2060"/>
      <c r="B309" s="1037"/>
      <c r="C309" s="1037"/>
      <c r="D309" s="1037"/>
      <c r="E309" s="1037"/>
      <c r="F309" s="1037"/>
      <c r="G309" s="1037"/>
      <c r="H309" s="1018"/>
      <c r="I309" s="1037"/>
      <c r="J309" s="1037"/>
      <c r="K309" s="1037"/>
      <c r="L309" s="1037"/>
      <c r="M309" s="1037"/>
      <c r="N309" s="1037"/>
      <c r="O309" s="1037"/>
      <c r="P309" s="1037"/>
      <c r="Q309" s="1037"/>
      <c r="R309" s="1037"/>
      <c r="S309" s="1037"/>
      <c r="T309" s="1037"/>
      <c r="U309" s="1037"/>
      <c r="V309" s="1037"/>
      <c r="W309" s="1037"/>
      <c r="X309" s="1037"/>
      <c r="Y309" s="1037"/>
      <c r="Z309" s="1037"/>
      <c r="AA309" s="1037"/>
      <c r="AB309" s="1037"/>
      <c r="AC309" s="1037"/>
      <c r="AD309" s="1037"/>
      <c r="AE309" s="1037"/>
      <c r="AF309" s="1037"/>
      <c r="AG309" s="1037"/>
      <c r="AH309" s="1037"/>
      <c r="AI309" s="1037"/>
      <c r="AJ309" s="1037"/>
      <c r="AK309" s="1037"/>
      <c r="AL309" s="1037"/>
      <c r="AM309" s="1037"/>
      <c r="AN309" s="1037"/>
      <c r="AO309" s="1037"/>
      <c r="AP309" s="1037"/>
    </row>
    <row r="310" spans="1:42" s="226" customFormat="1">
      <c r="A310" s="2060"/>
      <c r="B310" s="1037"/>
      <c r="C310" s="1037"/>
      <c r="D310" s="1037"/>
      <c r="E310" s="1037"/>
      <c r="F310" s="1037"/>
      <c r="G310" s="1037"/>
      <c r="H310" s="1018"/>
      <c r="I310" s="1037"/>
      <c r="J310" s="1037"/>
      <c r="K310" s="1037"/>
      <c r="L310" s="1037"/>
      <c r="M310" s="1037"/>
      <c r="N310" s="1037"/>
      <c r="O310" s="1037"/>
      <c r="P310" s="1037"/>
      <c r="Q310" s="1037"/>
      <c r="R310" s="1037"/>
      <c r="S310" s="1037"/>
      <c r="T310" s="1037"/>
      <c r="U310" s="1037"/>
      <c r="V310" s="1037"/>
      <c r="W310" s="1037"/>
      <c r="X310" s="1037"/>
      <c r="Y310" s="1037"/>
      <c r="Z310" s="1037"/>
      <c r="AA310" s="1037"/>
      <c r="AB310" s="1037"/>
      <c r="AC310" s="1037"/>
      <c r="AD310" s="1037"/>
      <c r="AE310" s="1037"/>
      <c r="AF310" s="1037"/>
      <c r="AG310" s="1037"/>
      <c r="AH310" s="1037"/>
      <c r="AI310" s="1037"/>
      <c r="AJ310" s="1037"/>
      <c r="AK310" s="1037"/>
      <c r="AL310" s="1037"/>
      <c r="AM310" s="1037"/>
      <c r="AN310" s="1037"/>
      <c r="AO310" s="1037"/>
      <c r="AP310" s="1037"/>
    </row>
    <row r="311" spans="1:42" s="226" customFormat="1">
      <c r="A311" s="2060"/>
      <c r="B311" s="1037"/>
      <c r="C311" s="1037"/>
      <c r="D311" s="1037"/>
      <c r="E311" s="1037"/>
      <c r="F311" s="1037"/>
      <c r="G311" s="1037"/>
      <c r="H311" s="1018"/>
      <c r="I311" s="1037"/>
      <c r="J311" s="1037"/>
      <c r="K311" s="1037"/>
      <c r="L311" s="1037"/>
      <c r="M311" s="1037"/>
      <c r="N311" s="1037"/>
      <c r="O311" s="1037"/>
      <c r="P311" s="1037"/>
      <c r="Q311" s="1037"/>
      <c r="R311" s="1037"/>
      <c r="S311" s="1037"/>
      <c r="T311" s="1037"/>
      <c r="U311" s="1037"/>
      <c r="V311" s="1037"/>
      <c r="W311" s="1037"/>
      <c r="X311" s="1037"/>
      <c r="Y311" s="1037"/>
      <c r="Z311" s="1037"/>
      <c r="AA311" s="1037"/>
      <c r="AB311" s="1037"/>
      <c r="AC311" s="1037"/>
      <c r="AD311" s="1037"/>
      <c r="AE311" s="1037"/>
      <c r="AF311" s="1037"/>
      <c r="AG311" s="1037"/>
      <c r="AH311" s="1037"/>
      <c r="AI311" s="1037"/>
      <c r="AJ311" s="1037"/>
      <c r="AK311" s="1037"/>
      <c r="AL311" s="1037"/>
      <c r="AM311" s="1037"/>
      <c r="AN311" s="1037"/>
      <c r="AO311" s="1037"/>
      <c r="AP311" s="1037"/>
    </row>
    <row r="312" spans="1:42" s="226" customFormat="1">
      <c r="A312" s="2060"/>
      <c r="B312" s="1037"/>
      <c r="C312" s="1037"/>
      <c r="D312" s="1037"/>
      <c r="E312" s="1037"/>
      <c r="F312" s="1037"/>
      <c r="G312" s="1037"/>
      <c r="H312" s="1018"/>
      <c r="I312" s="1037"/>
      <c r="J312" s="1037"/>
      <c r="K312" s="1037"/>
      <c r="L312" s="1037"/>
      <c r="M312" s="1037"/>
      <c r="N312" s="1037"/>
      <c r="O312" s="1037"/>
      <c r="P312" s="1037"/>
      <c r="Q312" s="1037"/>
      <c r="R312" s="1037"/>
      <c r="S312" s="1037"/>
      <c r="T312" s="1037"/>
      <c r="U312" s="1037"/>
      <c r="V312" s="1037"/>
      <c r="W312" s="1037"/>
      <c r="X312" s="1037"/>
      <c r="Y312" s="1037"/>
      <c r="Z312" s="1037"/>
      <c r="AA312" s="1037"/>
      <c r="AB312" s="1037"/>
      <c r="AC312" s="1037"/>
      <c r="AD312" s="1037"/>
      <c r="AE312" s="1037"/>
      <c r="AF312" s="1037"/>
      <c r="AG312" s="1037"/>
      <c r="AH312" s="1037"/>
      <c r="AI312" s="1037"/>
      <c r="AJ312" s="1037"/>
      <c r="AK312" s="1037"/>
      <c r="AL312" s="1037"/>
      <c r="AM312" s="1037"/>
      <c r="AN312" s="1037"/>
      <c r="AO312" s="1037"/>
      <c r="AP312" s="1037"/>
    </row>
    <row r="313" spans="1:42" s="226" customFormat="1">
      <c r="A313" s="2060"/>
      <c r="B313" s="1037"/>
      <c r="C313" s="1037"/>
      <c r="D313" s="1037"/>
      <c r="E313" s="1037"/>
      <c r="F313" s="1037"/>
      <c r="G313" s="1037"/>
      <c r="H313" s="1018"/>
      <c r="I313" s="1037"/>
      <c r="J313" s="1037"/>
      <c r="K313" s="1037"/>
      <c r="L313" s="1037"/>
      <c r="M313" s="1037"/>
      <c r="N313" s="1037"/>
      <c r="O313" s="1037"/>
      <c r="P313" s="1037"/>
      <c r="Q313" s="1037"/>
      <c r="R313" s="1037"/>
      <c r="S313" s="1037"/>
      <c r="T313" s="1037"/>
      <c r="U313" s="1037"/>
      <c r="V313" s="1037"/>
      <c r="W313" s="1037"/>
      <c r="X313" s="1037"/>
      <c r="Y313" s="1037"/>
      <c r="Z313" s="1037"/>
      <c r="AA313" s="1037"/>
      <c r="AB313" s="1037"/>
      <c r="AC313" s="1037"/>
      <c r="AD313" s="1037"/>
      <c r="AE313" s="1037"/>
      <c r="AF313" s="1037"/>
      <c r="AG313" s="1037"/>
      <c r="AH313" s="1037"/>
      <c r="AI313" s="1037"/>
      <c r="AJ313" s="1037"/>
      <c r="AK313" s="1037"/>
      <c r="AL313" s="1037"/>
      <c r="AM313" s="1037"/>
      <c r="AN313" s="1037"/>
      <c r="AO313" s="1037"/>
      <c r="AP313" s="1037"/>
    </row>
    <row r="314" spans="1:42" s="226" customFormat="1">
      <c r="A314" s="2060"/>
      <c r="B314" s="1037"/>
      <c r="C314" s="1037"/>
      <c r="D314" s="1037"/>
      <c r="E314" s="1037"/>
      <c r="F314" s="1037"/>
      <c r="G314" s="1037"/>
      <c r="H314" s="1018"/>
      <c r="I314" s="1037"/>
      <c r="J314" s="1037"/>
      <c r="K314" s="1037"/>
      <c r="L314" s="1037"/>
      <c r="M314" s="1037"/>
      <c r="N314" s="1037"/>
      <c r="O314" s="1037"/>
      <c r="P314" s="1037"/>
      <c r="Q314" s="1037"/>
      <c r="R314" s="1037"/>
      <c r="S314" s="1037"/>
      <c r="T314" s="1037"/>
      <c r="U314" s="1037"/>
      <c r="V314" s="1037"/>
      <c r="W314" s="1037"/>
      <c r="X314" s="1037"/>
      <c r="Y314" s="1037"/>
      <c r="Z314" s="1037"/>
      <c r="AA314" s="1037"/>
      <c r="AB314" s="1037"/>
      <c r="AC314" s="1037"/>
      <c r="AD314" s="1037"/>
      <c r="AE314" s="1037"/>
      <c r="AF314" s="1037"/>
      <c r="AG314" s="1037"/>
      <c r="AH314" s="1037"/>
      <c r="AI314" s="1037"/>
      <c r="AJ314" s="1037"/>
      <c r="AK314" s="1037"/>
      <c r="AL314" s="1037"/>
      <c r="AM314" s="1037"/>
      <c r="AN314" s="1037"/>
      <c r="AO314" s="1037"/>
      <c r="AP314" s="1037"/>
    </row>
    <row r="315" spans="1:42" s="226" customFormat="1">
      <c r="A315" s="2060"/>
      <c r="B315" s="1037"/>
      <c r="C315" s="1037"/>
      <c r="D315" s="1037"/>
      <c r="E315" s="1037"/>
      <c r="F315" s="1037"/>
      <c r="G315" s="1037"/>
      <c r="H315" s="1018"/>
      <c r="I315" s="1037"/>
      <c r="J315" s="1037"/>
      <c r="K315" s="1037"/>
      <c r="L315" s="1037"/>
      <c r="M315" s="1037"/>
      <c r="N315" s="1037"/>
      <c r="O315" s="1037"/>
      <c r="P315" s="1037"/>
      <c r="Q315" s="1037"/>
      <c r="R315" s="1037"/>
      <c r="S315" s="1037"/>
      <c r="T315" s="1037"/>
      <c r="U315" s="1037"/>
      <c r="V315" s="1037"/>
      <c r="W315" s="1037"/>
      <c r="X315" s="1037"/>
      <c r="Y315" s="1037"/>
      <c r="Z315" s="1037"/>
      <c r="AA315" s="1037"/>
      <c r="AB315" s="1037"/>
      <c r="AC315" s="1037"/>
      <c r="AD315" s="1037"/>
      <c r="AE315" s="1037"/>
      <c r="AF315" s="1037"/>
      <c r="AG315" s="1037"/>
      <c r="AH315" s="1037"/>
      <c r="AI315" s="1037"/>
      <c r="AJ315" s="1037"/>
      <c r="AK315" s="1037"/>
      <c r="AL315" s="1037"/>
      <c r="AM315" s="1037"/>
      <c r="AN315" s="1037"/>
      <c r="AO315" s="1037"/>
      <c r="AP315" s="1037"/>
    </row>
    <row r="316" spans="1:42" s="226" customFormat="1">
      <c r="A316" s="2060"/>
      <c r="B316" s="1037"/>
      <c r="C316" s="1037"/>
      <c r="D316" s="1037"/>
      <c r="E316" s="1037"/>
      <c r="F316" s="1037"/>
      <c r="G316" s="1037"/>
      <c r="H316" s="1018"/>
      <c r="I316" s="1037"/>
      <c r="J316" s="1037"/>
      <c r="K316" s="1037"/>
      <c r="L316" s="1037"/>
      <c r="M316" s="1037"/>
      <c r="N316" s="1037"/>
      <c r="O316" s="1037"/>
      <c r="P316" s="1037"/>
      <c r="Q316" s="1037"/>
      <c r="R316" s="1037"/>
      <c r="S316" s="1037"/>
      <c r="T316" s="1037"/>
      <c r="U316" s="1037"/>
      <c r="V316" s="1037"/>
      <c r="W316" s="1037"/>
      <c r="X316" s="1037"/>
      <c r="Y316" s="1037"/>
      <c r="Z316" s="1037"/>
      <c r="AA316" s="1037"/>
      <c r="AB316" s="1037"/>
      <c r="AC316" s="1037"/>
      <c r="AD316" s="1037"/>
      <c r="AE316" s="1037"/>
      <c r="AF316" s="1037"/>
      <c r="AG316" s="1037"/>
      <c r="AH316" s="1037"/>
      <c r="AI316" s="1037"/>
      <c r="AJ316" s="1037"/>
      <c r="AK316" s="1037"/>
      <c r="AL316" s="1037"/>
      <c r="AM316" s="1037"/>
      <c r="AN316" s="1037"/>
      <c r="AO316" s="1037"/>
      <c r="AP316" s="1037"/>
    </row>
    <row r="317" spans="1:42" s="226" customFormat="1">
      <c r="A317" s="2060"/>
      <c r="B317" s="1037"/>
      <c r="C317" s="1037"/>
      <c r="D317" s="1037"/>
      <c r="E317" s="1037"/>
      <c r="F317" s="1037"/>
      <c r="G317" s="1037"/>
      <c r="H317" s="1018"/>
      <c r="I317" s="1037"/>
      <c r="J317" s="1037"/>
      <c r="K317" s="1037"/>
      <c r="L317" s="1037"/>
      <c r="M317" s="1037"/>
      <c r="N317" s="1037"/>
      <c r="O317" s="1037"/>
      <c r="P317" s="1037"/>
      <c r="Q317" s="1037"/>
      <c r="R317" s="1037"/>
      <c r="S317" s="1037"/>
      <c r="T317" s="1037"/>
      <c r="U317" s="1037"/>
      <c r="V317" s="1037"/>
      <c r="W317" s="1037"/>
      <c r="X317" s="1037"/>
      <c r="Y317" s="1037"/>
      <c r="Z317" s="1037"/>
      <c r="AA317" s="1037"/>
      <c r="AB317" s="1037"/>
      <c r="AC317" s="1037"/>
      <c r="AD317" s="1037"/>
      <c r="AE317" s="1037"/>
      <c r="AF317" s="1037"/>
      <c r="AG317" s="1037"/>
      <c r="AH317" s="1037"/>
      <c r="AI317" s="1037"/>
      <c r="AJ317" s="1037"/>
      <c r="AK317" s="1037"/>
      <c r="AL317" s="1037"/>
      <c r="AM317" s="1037"/>
      <c r="AN317" s="1037"/>
      <c r="AO317" s="1037"/>
      <c r="AP317" s="1037"/>
    </row>
    <row r="318" spans="1:42" s="226" customFormat="1">
      <c r="A318" s="2060"/>
      <c r="B318" s="1037"/>
      <c r="C318" s="1037"/>
      <c r="D318" s="1037"/>
      <c r="E318" s="1037"/>
      <c r="F318" s="1037"/>
      <c r="G318" s="1037"/>
      <c r="H318" s="1018"/>
      <c r="I318" s="1037"/>
      <c r="J318" s="1037"/>
      <c r="K318" s="1037"/>
      <c r="L318" s="1037"/>
      <c r="M318" s="1037"/>
      <c r="N318" s="1037"/>
      <c r="O318" s="1037"/>
      <c r="P318" s="1037"/>
      <c r="Q318" s="1037"/>
      <c r="R318" s="1037"/>
      <c r="S318" s="1037"/>
      <c r="T318" s="1037"/>
      <c r="U318" s="1037"/>
      <c r="V318" s="1037"/>
      <c r="W318" s="1037"/>
      <c r="X318" s="1037"/>
      <c r="Y318" s="1037"/>
      <c r="Z318" s="1037"/>
      <c r="AA318" s="1037"/>
      <c r="AB318" s="1037"/>
      <c r="AC318" s="1037"/>
      <c r="AD318" s="1037"/>
      <c r="AE318" s="1037"/>
      <c r="AF318" s="1037"/>
      <c r="AG318" s="1037"/>
      <c r="AH318" s="1037"/>
      <c r="AI318" s="1037"/>
      <c r="AJ318" s="1037"/>
      <c r="AK318" s="1037"/>
      <c r="AL318" s="1037"/>
      <c r="AM318" s="1037"/>
      <c r="AN318" s="1037"/>
      <c r="AO318" s="1037"/>
      <c r="AP318" s="1037"/>
    </row>
    <row r="319" spans="1:42" s="226" customFormat="1">
      <c r="A319" s="2060"/>
      <c r="B319" s="1037"/>
      <c r="C319" s="1037"/>
      <c r="D319" s="1037"/>
      <c r="E319" s="1037"/>
      <c r="F319" s="1037"/>
      <c r="G319" s="1037"/>
      <c r="H319" s="1018"/>
      <c r="I319" s="1037"/>
      <c r="J319" s="1037"/>
      <c r="K319" s="1037"/>
      <c r="L319" s="1037"/>
      <c r="M319" s="1037"/>
      <c r="N319" s="1037"/>
      <c r="O319" s="1037"/>
      <c r="P319" s="1037"/>
      <c r="Q319" s="1037"/>
      <c r="R319" s="1037"/>
      <c r="S319" s="1037"/>
      <c r="T319" s="1037"/>
      <c r="U319" s="1037"/>
      <c r="V319" s="1037"/>
      <c r="W319" s="1037"/>
      <c r="X319" s="1037"/>
      <c r="Y319" s="1037"/>
      <c r="Z319" s="1037"/>
      <c r="AA319" s="1037"/>
      <c r="AB319" s="1037"/>
      <c r="AC319" s="1037"/>
      <c r="AD319" s="1037"/>
      <c r="AE319" s="1037"/>
      <c r="AF319" s="1037"/>
      <c r="AG319" s="1037"/>
      <c r="AH319" s="1037"/>
      <c r="AI319" s="1037"/>
      <c r="AJ319" s="1037"/>
      <c r="AK319" s="1037"/>
      <c r="AL319" s="1037"/>
      <c r="AM319" s="1037"/>
      <c r="AN319" s="1037"/>
      <c r="AO319" s="1037"/>
      <c r="AP319" s="1037"/>
    </row>
    <row r="320" spans="1:42" s="226" customFormat="1">
      <c r="A320" s="2060"/>
      <c r="B320" s="1037"/>
      <c r="C320" s="1037"/>
      <c r="D320" s="1037"/>
      <c r="E320" s="1037"/>
      <c r="F320" s="1037"/>
      <c r="G320" s="1037"/>
      <c r="H320" s="1018"/>
      <c r="I320" s="1037"/>
      <c r="J320" s="1037"/>
      <c r="K320" s="1037"/>
      <c r="L320" s="1037"/>
      <c r="M320" s="1037"/>
      <c r="N320" s="1037"/>
      <c r="O320" s="1037"/>
      <c r="P320" s="1037"/>
      <c r="Q320" s="1037"/>
      <c r="R320" s="1037"/>
      <c r="S320" s="1037"/>
      <c r="T320" s="1037"/>
      <c r="U320" s="1037"/>
      <c r="V320" s="1037"/>
      <c r="W320" s="1037"/>
      <c r="X320" s="1037"/>
      <c r="Y320" s="1037"/>
      <c r="Z320" s="1037"/>
      <c r="AA320" s="1037"/>
      <c r="AB320" s="1037"/>
      <c r="AC320" s="1037"/>
      <c r="AD320" s="1037"/>
      <c r="AE320" s="1037"/>
      <c r="AF320" s="1037"/>
      <c r="AG320" s="1037"/>
      <c r="AH320" s="1037"/>
      <c r="AI320" s="1037"/>
      <c r="AJ320" s="1037"/>
      <c r="AK320" s="1037"/>
      <c r="AL320" s="1037"/>
      <c r="AM320" s="1037"/>
      <c r="AN320" s="1037"/>
      <c r="AO320" s="1037"/>
      <c r="AP320" s="1037"/>
    </row>
    <row r="321" spans="1:42" s="226" customFormat="1">
      <c r="A321" s="2060"/>
      <c r="B321" s="1037"/>
      <c r="C321" s="1037"/>
      <c r="D321" s="1037"/>
      <c r="E321" s="1037"/>
      <c r="F321" s="1037"/>
      <c r="G321" s="1037"/>
      <c r="H321" s="1018"/>
      <c r="I321" s="1037"/>
      <c r="J321" s="1037"/>
      <c r="K321" s="1037"/>
      <c r="L321" s="1037"/>
      <c r="M321" s="1037"/>
      <c r="N321" s="1037"/>
      <c r="O321" s="1037"/>
      <c r="P321" s="1037"/>
      <c r="Q321" s="1037"/>
      <c r="R321" s="1037"/>
      <c r="S321" s="1037"/>
      <c r="T321" s="1037"/>
      <c r="U321" s="1037"/>
      <c r="V321" s="1037"/>
      <c r="W321" s="1037"/>
      <c r="X321" s="1037"/>
      <c r="Y321" s="1037"/>
      <c r="Z321" s="1037"/>
      <c r="AA321" s="1037"/>
      <c r="AB321" s="1037"/>
      <c r="AC321" s="1037"/>
      <c r="AD321" s="1037"/>
      <c r="AE321" s="1037"/>
      <c r="AF321" s="1037"/>
      <c r="AG321" s="1037"/>
      <c r="AH321" s="1037"/>
      <c r="AI321" s="1037"/>
      <c r="AJ321" s="1037"/>
      <c r="AK321" s="1037"/>
      <c r="AL321" s="1037"/>
      <c r="AM321" s="1037"/>
      <c r="AN321" s="1037"/>
      <c r="AO321" s="1037"/>
      <c r="AP321" s="1037"/>
    </row>
    <row r="322" spans="1:42" s="226" customFormat="1">
      <c r="A322" s="2060"/>
      <c r="B322" s="1037"/>
      <c r="C322" s="1037"/>
      <c r="D322" s="1037"/>
      <c r="E322" s="1037"/>
      <c r="F322" s="1037"/>
      <c r="G322" s="1037"/>
      <c r="H322" s="1018"/>
      <c r="I322" s="1037"/>
      <c r="J322" s="1037"/>
      <c r="K322" s="1037"/>
      <c r="L322" s="1037"/>
      <c r="M322" s="1037"/>
      <c r="N322" s="1037"/>
      <c r="O322" s="1037"/>
      <c r="P322" s="1037"/>
      <c r="Q322" s="1037"/>
      <c r="R322" s="1037"/>
      <c r="S322" s="1037"/>
      <c r="T322" s="1037"/>
      <c r="U322" s="1037"/>
      <c r="V322" s="1037"/>
      <c r="W322" s="1037"/>
      <c r="X322" s="1037"/>
      <c r="Y322" s="1037"/>
      <c r="Z322" s="1037"/>
      <c r="AA322" s="1037"/>
      <c r="AB322" s="1037"/>
      <c r="AC322" s="1037"/>
      <c r="AD322" s="1037"/>
      <c r="AE322" s="1037"/>
      <c r="AF322" s="1037"/>
      <c r="AG322" s="1037"/>
      <c r="AH322" s="1037"/>
      <c r="AI322" s="1037"/>
      <c r="AJ322" s="1037"/>
      <c r="AK322" s="1037"/>
      <c r="AL322" s="1037"/>
      <c r="AM322" s="1037"/>
      <c r="AN322" s="1037"/>
      <c r="AO322" s="1037"/>
      <c r="AP322" s="1037"/>
    </row>
    <row r="323" spans="1:42" s="226" customFormat="1">
      <c r="A323" s="2060"/>
      <c r="B323" s="1037"/>
      <c r="C323" s="1037"/>
      <c r="D323" s="1037"/>
      <c r="E323" s="1037"/>
      <c r="F323" s="1037"/>
      <c r="G323" s="1037"/>
      <c r="H323" s="1018"/>
      <c r="I323" s="1037"/>
      <c r="J323" s="1037"/>
      <c r="K323" s="1037"/>
      <c r="L323" s="1037"/>
      <c r="M323" s="1037"/>
      <c r="N323" s="1037"/>
      <c r="O323" s="1037"/>
      <c r="P323" s="1037"/>
      <c r="Q323" s="1037"/>
      <c r="R323" s="1037"/>
      <c r="S323" s="1037"/>
      <c r="T323" s="1037"/>
      <c r="U323" s="1037"/>
      <c r="V323" s="1037"/>
      <c r="W323" s="1037"/>
      <c r="X323" s="1037"/>
      <c r="Y323" s="1037"/>
      <c r="Z323" s="1037"/>
      <c r="AA323" s="1037"/>
      <c r="AB323" s="1037"/>
      <c r="AC323" s="1037"/>
      <c r="AD323" s="1037"/>
      <c r="AE323" s="1037"/>
      <c r="AF323" s="1037"/>
      <c r="AG323" s="1037"/>
      <c r="AH323" s="1037"/>
      <c r="AI323" s="1037"/>
      <c r="AJ323" s="1037"/>
      <c r="AK323" s="1037"/>
      <c r="AL323" s="1037"/>
      <c r="AM323" s="1037"/>
      <c r="AN323" s="1037"/>
      <c r="AO323" s="1037"/>
      <c r="AP323" s="1037"/>
    </row>
    <row r="324" spans="1:42" s="226" customFormat="1">
      <c r="A324" s="2060"/>
      <c r="B324" s="1037"/>
      <c r="C324" s="1037"/>
      <c r="D324" s="1037"/>
      <c r="E324" s="1037"/>
      <c r="F324" s="1037"/>
      <c r="G324" s="1037"/>
      <c r="H324" s="1018"/>
      <c r="I324" s="1037"/>
      <c r="J324" s="1037"/>
      <c r="K324" s="1037"/>
      <c r="L324" s="1037"/>
      <c r="M324" s="1037"/>
      <c r="N324" s="1037"/>
      <c r="O324" s="1037"/>
      <c r="P324" s="1037"/>
      <c r="Q324" s="1037"/>
      <c r="R324" s="1037"/>
      <c r="S324" s="1037"/>
      <c r="T324" s="1037"/>
      <c r="U324" s="1037"/>
      <c r="V324" s="1037"/>
      <c r="W324" s="1037"/>
      <c r="X324" s="1037"/>
      <c r="Y324" s="1037"/>
      <c r="Z324" s="1037"/>
      <c r="AA324" s="1037"/>
      <c r="AB324" s="1037"/>
      <c r="AC324" s="1037"/>
      <c r="AD324" s="1037"/>
      <c r="AE324" s="1037"/>
      <c r="AF324" s="1037"/>
      <c r="AG324" s="1037"/>
      <c r="AH324" s="1037"/>
      <c r="AI324" s="1037"/>
      <c r="AJ324" s="1037"/>
      <c r="AK324" s="1037"/>
      <c r="AL324" s="1037"/>
      <c r="AM324" s="1037"/>
      <c r="AN324" s="1037"/>
      <c r="AO324" s="1037"/>
      <c r="AP324" s="1037"/>
    </row>
    <row r="325" spans="1:42" s="226" customFormat="1">
      <c r="A325" s="2060"/>
      <c r="B325" s="1037"/>
      <c r="C325" s="1037"/>
      <c r="D325" s="1037"/>
      <c r="E325" s="1037"/>
      <c r="F325" s="1037"/>
      <c r="G325" s="1037"/>
      <c r="H325" s="1018"/>
      <c r="I325" s="1037"/>
      <c r="J325" s="1037"/>
      <c r="K325" s="1037"/>
      <c r="L325" s="1037"/>
      <c r="M325" s="1037"/>
      <c r="N325" s="1037"/>
      <c r="O325" s="1037"/>
      <c r="P325" s="1037"/>
      <c r="Q325" s="1037"/>
      <c r="R325" s="1037"/>
      <c r="S325" s="1037"/>
      <c r="T325" s="1037"/>
      <c r="U325" s="1037"/>
      <c r="V325" s="1037"/>
      <c r="W325" s="1037"/>
      <c r="X325" s="1037"/>
      <c r="Y325" s="1037"/>
      <c r="Z325" s="1037"/>
      <c r="AA325" s="1037"/>
      <c r="AB325" s="1037"/>
      <c r="AC325" s="1037"/>
      <c r="AD325" s="1037"/>
      <c r="AE325" s="1037"/>
      <c r="AF325" s="1037"/>
      <c r="AG325" s="1037"/>
      <c r="AH325" s="1037"/>
      <c r="AI325" s="1037"/>
      <c r="AJ325" s="1037"/>
      <c r="AK325" s="1037"/>
      <c r="AL325" s="1037"/>
      <c r="AM325" s="1037"/>
      <c r="AN325" s="1037"/>
      <c r="AO325" s="1037"/>
      <c r="AP325" s="1037"/>
    </row>
    <row r="326" spans="1:42" s="226" customFormat="1">
      <c r="A326" s="2060"/>
      <c r="B326" s="1037"/>
      <c r="C326" s="1037"/>
      <c r="D326" s="1037"/>
      <c r="E326" s="1037"/>
      <c r="F326" s="1037"/>
      <c r="G326" s="1037"/>
      <c r="H326" s="1018"/>
      <c r="I326" s="1037"/>
      <c r="J326" s="1037"/>
      <c r="K326" s="1037"/>
      <c r="L326" s="1037"/>
      <c r="M326" s="1037"/>
      <c r="N326" s="1037"/>
      <c r="O326" s="1037"/>
      <c r="P326" s="1037"/>
      <c r="Q326" s="1037"/>
      <c r="R326" s="1037"/>
      <c r="S326" s="1037"/>
      <c r="T326" s="1037"/>
      <c r="U326" s="1037"/>
      <c r="V326" s="1037"/>
      <c r="W326" s="1037"/>
      <c r="X326" s="1037"/>
      <c r="Y326" s="1037"/>
      <c r="Z326" s="1037"/>
      <c r="AA326" s="1037"/>
      <c r="AB326" s="1037"/>
      <c r="AC326" s="1037"/>
      <c r="AD326" s="1037"/>
      <c r="AE326" s="1037"/>
      <c r="AF326" s="1037"/>
      <c r="AG326" s="1037"/>
      <c r="AH326" s="1037"/>
      <c r="AI326" s="1037"/>
      <c r="AJ326" s="1037"/>
      <c r="AK326" s="1037"/>
      <c r="AL326" s="1037"/>
      <c r="AM326" s="1037"/>
      <c r="AN326" s="1037"/>
      <c r="AO326" s="1037"/>
      <c r="AP326" s="1037"/>
    </row>
    <row r="327" spans="1:42" s="226" customFormat="1">
      <c r="A327" s="2060"/>
      <c r="B327" s="1037"/>
      <c r="C327" s="1037"/>
      <c r="D327" s="1037"/>
      <c r="E327" s="1037"/>
      <c r="F327" s="1037"/>
      <c r="G327" s="1037"/>
      <c r="H327" s="1018"/>
      <c r="I327" s="1037"/>
      <c r="J327" s="1037"/>
      <c r="K327" s="1037"/>
      <c r="L327" s="1037"/>
      <c r="M327" s="1037"/>
      <c r="N327" s="1037"/>
      <c r="O327" s="1037"/>
      <c r="P327" s="1037"/>
      <c r="Q327" s="1037"/>
      <c r="R327" s="1037"/>
      <c r="S327" s="1037"/>
      <c r="T327" s="1037"/>
      <c r="U327" s="1037"/>
      <c r="V327" s="1037"/>
      <c r="W327" s="1037"/>
      <c r="X327" s="1037"/>
      <c r="Y327" s="1037"/>
      <c r="Z327" s="1037"/>
      <c r="AA327" s="1037"/>
      <c r="AB327" s="1037"/>
      <c r="AC327" s="1037"/>
      <c r="AD327" s="1037"/>
      <c r="AE327" s="1037"/>
      <c r="AF327" s="1037"/>
      <c r="AG327" s="1037"/>
      <c r="AH327" s="1037"/>
      <c r="AI327" s="1037"/>
      <c r="AJ327" s="1037"/>
      <c r="AK327" s="1037"/>
      <c r="AL327" s="1037"/>
      <c r="AM327" s="1037"/>
      <c r="AN327" s="1037"/>
      <c r="AO327" s="1037"/>
      <c r="AP327" s="1037"/>
    </row>
    <row r="328" spans="1:42" s="226" customFormat="1">
      <c r="A328" s="2060"/>
      <c r="B328" s="1037"/>
      <c r="C328" s="1037"/>
      <c r="D328" s="1037"/>
      <c r="E328" s="1037"/>
      <c r="F328" s="1037"/>
      <c r="G328" s="1037"/>
      <c r="H328" s="1018"/>
      <c r="I328" s="1037"/>
      <c r="J328" s="1037"/>
      <c r="K328" s="1037"/>
      <c r="L328" s="1037"/>
      <c r="M328" s="1037"/>
      <c r="N328" s="1037"/>
      <c r="O328" s="1037"/>
      <c r="P328" s="1037"/>
      <c r="Q328" s="1037"/>
      <c r="R328" s="1037"/>
      <c r="S328" s="1037"/>
      <c r="T328" s="1037"/>
      <c r="U328" s="1037"/>
      <c r="V328" s="1037"/>
      <c r="W328" s="1037"/>
      <c r="X328" s="1037"/>
      <c r="Y328" s="1037"/>
      <c r="Z328" s="1037"/>
      <c r="AA328" s="1037"/>
      <c r="AB328" s="1037"/>
      <c r="AC328" s="1037"/>
      <c r="AD328" s="1037"/>
      <c r="AE328" s="1037"/>
      <c r="AF328" s="1037"/>
      <c r="AG328" s="1037"/>
      <c r="AH328" s="1037"/>
      <c r="AI328" s="1037"/>
      <c r="AJ328" s="1037"/>
      <c r="AK328" s="1037"/>
      <c r="AL328" s="1037"/>
      <c r="AM328" s="1037"/>
      <c r="AN328" s="1037"/>
      <c r="AO328" s="1037"/>
      <c r="AP328" s="1037"/>
    </row>
    <row r="329" spans="1:42" s="226" customFormat="1">
      <c r="A329" s="2060"/>
      <c r="B329" s="1037"/>
      <c r="C329" s="1037"/>
      <c r="D329" s="1037"/>
      <c r="E329" s="1037"/>
      <c r="F329" s="1037"/>
      <c r="G329" s="1037"/>
      <c r="H329" s="1018"/>
      <c r="I329" s="1037"/>
      <c r="J329" s="1037"/>
      <c r="K329" s="1037"/>
      <c r="L329" s="1037"/>
      <c r="M329" s="1037"/>
      <c r="N329" s="1037"/>
      <c r="O329" s="1037"/>
      <c r="P329" s="1037"/>
      <c r="Q329" s="1037"/>
      <c r="R329" s="1037"/>
      <c r="S329" s="1037"/>
      <c r="T329" s="1037"/>
      <c r="U329" s="1037"/>
      <c r="V329" s="1037"/>
      <c r="W329" s="1037"/>
      <c r="X329" s="1037"/>
      <c r="Y329" s="1037"/>
      <c r="Z329" s="1037"/>
      <c r="AA329" s="1037"/>
      <c r="AB329" s="1037"/>
      <c r="AC329" s="1037"/>
      <c r="AD329" s="1037"/>
      <c r="AE329" s="1037"/>
      <c r="AF329" s="1037"/>
      <c r="AG329" s="1037"/>
      <c r="AH329" s="1037"/>
      <c r="AI329" s="1037"/>
      <c r="AJ329" s="1037"/>
      <c r="AK329" s="1037"/>
      <c r="AL329" s="1037"/>
      <c r="AM329" s="1037"/>
      <c r="AN329" s="1037"/>
      <c r="AO329" s="1037"/>
      <c r="AP329" s="1037"/>
    </row>
    <row r="330" spans="1:42" s="226" customFormat="1">
      <c r="A330" s="2060"/>
      <c r="B330" s="1037"/>
      <c r="C330" s="1037"/>
      <c r="D330" s="1037"/>
      <c r="E330" s="1037"/>
      <c r="F330" s="1037"/>
      <c r="G330" s="1037"/>
      <c r="H330" s="1018"/>
      <c r="I330" s="1037"/>
      <c r="J330" s="1037"/>
      <c r="K330" s="1037"/>
      <c r="L330" s="1037"/>
      <c r="M330" s="1037"/>
      <c r="N330" s="1037"/>
      <c r="O330" s="1037"/>
      <c r="P330" s="1037"/>
      <c r="Q330" s="1037"/>
      <c r="R330" s="1037"/>
      <c r="S330" s="1037"/>
      <c r="T330" s="1037"/>
      <c r="U330" s="1037"/>
      <c r="V330" s="1037"/>
      <c r="W330" s="1037"/>
      <c r="X330" s="1037"/>
      <c r="Y330" s="1037"/>
      <c r="Z330" s="1037"/>
      <c r="AA330" s="1037"/>
      <c r="AB330" s="1037"/>
      <c r="AC330" s="1037"/>
      <c r="AD330" s="1037"/>
      <c r="AE330" s="1037"/>
      <c r="AF330" s="1037"/>
      <c r="AG330" s="1037"/>
      <c r="AH330" s="1037"/>
      <c r="AI330" s="1037"/>
      <c r="AJ330" s="1037"/>
      <c r="AK330" s="1037"/>
      <c r="AL330" s="1037"/>
      <c r="AM330" s="1037"/>
      <c r="AN330" s="1037"/>
      <c r="AO330" s="1037"/>
      <c r="AP330" s="1037"/>
    </row>
    <row r="331" spans="1:42" s="226" customFormat="1">
      <c r="A331" s="2060"/>
      <c r="B331" s="1037"/>
      <c r="C331" s="1037"/>
      <c r="D331" s="1037"/>
      <c r="E331" s="1037"/>
      <c r="F331" s="1037"/>
      <c r="G331" s="1037"/>
      <c r="H331" s="1018"/>
      <c r="I331" s="1037"/>
      <c r="J331" s="1037"/>
      <c r="K331" s="1037"/>
      <c r="L331" s="1037"/>
      <c r="M331" s="1037"/>
      <c r="N331" s="1037"/>
      <c r="O331" s="1037"/>
      <c r="P331" s="1037"/>
      <c r="Q331" s="1037"/>
      <c r="R331" s="1037"/>
      <c r="S331" s="1037"/>
      <c r="T331" s="1037"/>
      <c r="U331" s="1037"/>
      <c r="V331" s="1037"/>
      <c r="W331" s="1037"/>
      <c r="X331" s="1037"/>
      <c r="Y331" s="1037"/>
      <c r="Z331" s="1037"/>
      <c r="AA331" s="1037"/>
      <c r="AB331" s="1037"/>
      <c r="AC331" s="1037"/>
      <c r="AD331" s="1037"/>
      <c r="AE331" s="1037"/>
      <c r="AF331" s="1037"/>
      <c r="AG331" s="1037"/>
      <c r="AH331" s="1037"/>
      <c r="AI331" s="1037"/>
      <c r="AJ331" s="1037"/>
      <c r="AK331" s="1037"/>
      <c r="AL331" s="1037"/>
      <c r="AM331" s="1037"/>
      <c r="AN331" s="1037"/>
      <c r="AO331" s="1037"/>
      <c r="AP331" s="1037"/>
    </row>
    <row r="332" spans="1:42" s="226" customFormat="1">
      <c r="A332" s="2060"/>
      <c r="B332" s="1037"/>
      <c r="C332" s="1037"/>
      <c r="D332" s="1037"/>
      <c r="E332" s="1037"/>
      <c r="F332" s="1037"/>
      <c r="G332" s="1037"/>
      <c r="H332" s="1018"/>
      <c r="I332" s="1037"/>
      <c r="J332" s="1037"/>
      <c r="K332" s="1037"/>
      <c r="L332" s="1037"/>
      <c r="M332" s="1037"/>
      <c r="N332" s="1037"/>
      <c r="O332" s="1037"/>
      <c r="P332" s="1037"/>
      <c r="Q332" s="1037"/>
      <c r="R332" s="1037"/>
      <c r="S332" s="1037"/>
      <c r="T332" s="1037"/>
      <c r="U332" s="1037"/>
      <c r="V332" s="1037"/>
      <c r="W332" s="1037"/>
      <c r="X332" s="1037"/>
      <c r="Y332" s="1037"/>
      <c r="Z332" s="1037"/>
      <c r="AA332" s="1037"/>
      <c r="AB332" s="1037"/>
      <c r="AC332" s="1037"/>
      <c r="AD332" s="1037"/>
      <c r="AE332" s="1037"/>
      <c r="AF332" s="1037"/>
      <c r="AG332" s="1037"/>
      <c r="AH332" s="1037"/>
      <c r="AI332" s="1037"/>
      <c r="AJ332" s="1037"/>
      <c r="AK332" s="1037"/>
      <c r="AL332" s="1037"/>
      <c r="AM332" s="1037"/>
      <c r="AN332" s="1037"/>
      <c r="AO332" s="1037"/>
      <c r="AP332" s="1037"/>
    </row>
    <row r="333" spans="1:42" s="226" customFormat="1">
      <c r="A333" s="2060"/>
      <c r="B333" s="1037"/>
      <c r="C333" s="1037"/>
      <c r="D333" s="1037"/>
      <c r="E333" s="1037"/>
      <c r="F333" s="1037"/>
      <c r="G333" s="1037"/>
      <c r="H333" s="1018"/>
      <c r="I333" s="1037"/>
      <c r="J333" s="1037"/>
      <c r="K333" s="1037"/>
      <c r="L333" s="1037"/>
      <c r="M333" s="1037"/>
      <c r="N333" s="1037"/>
      <c r="O333" s="1037"/>
      <c r="P333" s="1037"/>
      <c r="Q333" s="1037"/>
      <c r="R333" s="1037"/>
      <c r="S333" s="1037"/>
      <c r="T333" s="1037"/>
      <c r="U333" s="1037"/>
      <c r="V333" s="1037"/>
      <c r="W333" s="1037"/>
      <c r="X333" s="1037"/>
      <c r="Y333" s="1037"/>
      <c r="Z333" s="1037"/>
      <c r="AA333" s="1037"/>
      <c r="AB333" s="1037"/>
      <c r="AC333" s="1037"/>
      <c r="AD333" s="1037"/>
      <c r="AE333" s="1037"/>
      <c r="AF333" s="1037"/>
      <c r="AG333" s="1037"/>
      <c r="AH333" s="1037"/>
      <c r="AI333" s="1037"/>
      <c r="AJ333" s="1037"/>
      <c r="AK333" s="1037"/>
      <c r="AL333" s="1037"/>
      <c r="AM333" s="1037"/>
      <c r="AN333" s="1037"/>
      <c r="AO333" s="1037"/>
      <c r="AP333" s="1037"/>
    </row>
    <row r="334" spans="1:42" s="226" customFormat="1">
      <c r="A334" s="2060"/>
      <c r="B334" s="1037"/>
      <c r="C334" s="1037"/>
      <c r="D334" s="1037"/>
      <c r="E334" s="1037"/>
      <c r="F334" s="1037"/>
      <c r="G334" s="1037"/>
      <c r="H334" s="1018"/>
      <c r="I334" s="1037"/>
      <c r="J334" s="1037"/>
      <c r="K334" s="1037"/>
      <c r="L334" s="1037"/>
      <c r="M334" s="1037"/>
      <c r="N334" s="1037"/>
      <c r="O334" s="1037"/>
      <c r="P334" s="1037"/>
      <c r="Q334" s="1037"/>
      <c r="R334" s="1037"/>
      <c r="S334" s="1037"/>
      <c r="T334" s="1037"/>
      <c r="U334" s="1037"/>
      <c r="V334" s="1037"/>
      <c r="W334" s="1037"/>
      <c r="X334" s="1037"/>
      <c r="Y334" s="1037"/>
      <c r="Z334" s="1037"/>
      <c r="AA334" s="1037"/>
      <c r="AB334" s="1037"/>
      <c r="AC334" s="1037"/>
      <c r="AD334" s="1037"/>
      <c r="AE334" s="1037"/>
      <c r="AF334" s="1037"/>
      <c r="AG334" s="1037"/>
      <c r="AH334" s="1037"/>
      <c r="AI334" s="1037"/>
      <c r="AJ334" s="1037"/>
      <c r="AK334" s="1037"/>
      <c r="AL334" s="1037"/>
      <c r="AM334" s="1037"/>
      <c r="AN334" s="1037"/>
      <c r="AO334" s="1037"/>
      <c r="AP334" s="1037"/>
    </row>
    <row r="335" spans="1:42" s="226" customFormat="1">
      <c r="A335" s="2060"/>
      <c r="B335" s="1037"/>
      <c r="C335" s="1037"/>
      <c r="D335" s="1037"/>
      <c r="E335" s="1037"/>
      <c r="F335" s="1037"/>
      <c r="G335" s="1037"/>
      <c r="H335" s="1018"/>
      <c r="I335" s="1037"/>
      <c r="J335" s="1037"/>
      <c r="K335" s="1037"/>
      <c r="L335" s="1037"/>
      <c r="M335" s="1037"/>
      <c r="N335" s="1037"/>
      <c r="O335" s="1037"/>
      <c r="P335" s="1037"/>
      <c r="Q335" s="1037"/>
      <c r="R335" s="1037"/>
      <c r="S335" s="1037"/>
      <c r="T335" s="1037"/>
      <c r="U335" s="1037"/>
      <c r="V335" s="1037"/>
      <c r="W335" s="1037"/>
      <c r="X335" s="1037"/>
      <c r="Y335" s="1037"/>
      <c r="Z335" s="1037"/>
      <c r="AA335" s="1037"/>
      <c r="AB335" s="1037"/>
      <c r="AC335" s="1037"/>
      <c r="AD335" s="1037"/>
      <c r="AE335" s="1037"/>
      <c r="AF335" s="1037"/>
      <c r="AG335" s="1037"/>
      <c r="AH335" s="1037"/>
      <c r="AI335" s="1037"/>
      <c r="AJ335" s="1037"/>
      <c r="AK335" s="1037"/>
      <c r="AL335" s="1037"/>
      <c r="AM335" s="1037"/>
      <c r="AN335" s="1037"/>
      <c r="AO335" s="1037"/>
      <c r="AP335" s="1037"/>
    </row>
    <row r="336" spans="1:42" s="226" customFormat="1">
      <c r="A336" s="2060"/>
      <c r="B336" s="1037"/>
      <c r="C336" s="1037"/>
      <c r="D336" s="1037"/>
      <c r="E336" s="1037"/>
      <c r="F336" s="1037"/>
      <c r="G336" s="1037"/>
      <c r="H336" s="1018"/>
      <c r="I336" s="1037"/>
      <c r="J336" s="1037"/>
      <c r="K336" s="1037"/>
      <c r="L336" s="1037"/>
      <c r="M336" s="1037"/>
      <c r="N336" s="1037"/>
      <c r="O336" s="1037"/>
      <c r="P336" s="1037"/>
      <c r="Q336" s="1037"/>
      <c r="R336" s="1037"/>
      <c r="S336" s="1037"/>
      <c r="T336" s="1037"/>
      <c r="U336" s="1037"/>
      <c r="V336" s="1037"/>
      <c r="W336" s="1037"/>
      <c r="X336" s="1037"/>
      <c r="Y336" s="1037"/>
      <c r="Z336" s="1037"/>
      <c r="AA336" s="1037"/>
      <c r="AB336" s="1037"/>
      <c r="AC336" s="1037"/>
      <c r="AD336" s="1037"/>
      <c r="AE336" s="1037"/>
      <c r="AF336" s="1037"/>
      <c r="AG336" s="1037"/>
      <c r="AH336" s="1037"/>
      <c r="AI336" s="1037"/>
      <c r="AJ336" s="1037"/>
      <c r="AK336" s="1037"/>
      <c r="AL336" s="1037"/>
      <c r="AM336" s="1037"/>
      <c r="AN336" s="1037"/>
      <c r="AO336" s="1037"/>
      <c r="AP336" s="1037"/>
    </row>
    <row r="337" spans="1:42" s="226" customFormat="1">
      <c r="A337" s="2060"/>
      <c r="B337" s="1037"/>
      <c r="C337" s="1037"/>
      <c r="D337" s="1037"/>
      <c r="E337" s="1037"/>
      <c r="F337" s="1037"/>
      <c r="G337" s="1037"/>
      <c r="H337" s="1018"/>
      <c r="I337" s="1037"/>
      <c r="J337" s="1037"/>
      <c r="K337" s="1037"/>
      <c r="L337" s="1037"/>
      <c r="M337" s="1037"/>
      <c r="N337" s="1037"/>
      <c r="O337" s="1037"/>
      <c r="P337" s="1037"/>
      <c r="Q337" s="1037"/>
      <c r="R337" s="1037"/>
      <c r="S337" s="1037"/>
      <c r="T337" s="1037"/>
      <c r="U337" s="1037"/>
      <c r="V337" s="1037"/>
      <c r="W337" s="1037"/>
      <c r="X337" s="1037"/>
      <c r="Y337" s="1037"/>
      <c r="Z337" s="1037"/>
      <c r="AA337" s="1037"/>
      <c r="AB337" s="1037"/>
      <c r="AC337" s="1037"/>
      <c r="AD337" s="1037"/>
      <c r="AE337" s="1037"/>
      <c r="AF337" s="1037"/>
      <c r="AG337" s="1037"/>
      <c r="AH337" s="1037"/>
      <c r="AI337" s="1037"/>
      <c r="AJ337" s="1037"/>
      <c r="AK337" s="1037"/>
      <c r="AL337" s="1037"/>
      <c r="AM337" s="1037"/>
      <c r="AN337" s="1037"/>
      <c r="AO337" s="1037"/>
      <c r="AP337" s="1037"/>
    </row>
    <row r="338" spans="1:42" s="226" customFormat="1">
      <c r="A338" s="2060"/>
      <c r="B338" s="1037"/>
      <c r="C338" s="1037"/>
      <c r="D338" s="1037"/>
      <c r="E338" s="1037"/>
      <c r="F338" s="1037"/>
      <c r="G338" s="1037"/>
      <c r="H338" s="1018"/>
      <c r="I338" s="1037"/>
      <c r="J338" s="1037"/>
      <c r="K338" s="1037"/>
      <c r="L338" s="1037"/>
      <c r="M338" s="1037"/>
      <c r="N338" s="1037"/>
      <c r="O338" s="1037"/>
      <c r="P338" s="1037"/>
      <c r="Q338" s="1037"/>
      <c r="R338" s="1037"/>
      <c r="S338" s="1037"/>
      <c r="T338" s="1037"/>
      <c r="U338" s="1037"/>
      <c r="V338" s="1037"/>
      <c r="W338" s="1037"/>
      <c r="X338" s="1037"/>
      <c r="Y338" s="1037"/>
      <c r="Z338" s="1037"/>
      <c r="AA338" s="1037"/>
      <c r="AB338" s="1037"/>
      <c r="AC338" s="1037"/>
      <c r="AD338" s="1037"/>
      <c r="AE338" s="1037"/>
      <c r="AF338" s="1037"/>
      <c r="AG338" s="1037"/>
      <c r="AH338" s="1037"/>
      <c r="AI338" s="1037"/>
      <c r="AJ338" s="1037"/>
      <c r="AK338" s="1037"/>
      <c r="AL338" s="1037"/>
      <c r="AM338" s="1037"/>
      <c r="AN338" s="1037"/>
      <c r="AO338" s="1037"/>
      <c r="AP338" s="1037"/>
    </row>
    <row r="339" spans="1:42" s="226" customFormat="1">
      <c r="A339" s="2060"/>
      <c r="B339" s="1037"/>
      <c r="C339" s="1037"/>
      <c r="D339" s="1037"/>
      <c r="E339" s="1037"/>
      <c r="F339" s="1037"/>
      <c r="G339" s="1037"/>
      <c r="H339" s="1018"/>
      <c r="I339" s="1037"/>
      <c r="J339" s="1037"/>
      <c r="K339" s="1037"/>
      <c r="L339" s="1037"/>
      <c r="M339" s="1037"/>
      <c r="N339" s="1037"/>
      <c r="O339" s="1037"/>
      <c r="P339" s="1037"/>
      <c r="Q339" s="1037"/>
      <c r="R339" s="1037"/>
      <c r="S339" s="1037"/>
      <c r="T339" s="1037"/>
      <c r="U339" s="1037"/>
      <c r="V339" s="1037"/>
      <c r="W339" s="1037"/>
      <c r="X339" s="1037"/>
      <c r="Y339" s="1037"/>
      <c r="Z339" s="1037"/>
      <c r="AA339" s="1037"/>
      <c r="AB339" s="1037"/>
      <c r="AC339" s="1037"/>
      <c r="AD339" s="1037"/>
      <c r="AE339" s="1037"/>
      <c r="AF339" s="1037"/>
      <c r="AG339" s="1037"/>
      <c r="AH339" s="1037"/>
      <c r="AI339" s="1037"/>
      <c r="AJ339" s="1037"/>
      <c r="AK339" s="1037"/>
      <c r="AL339" s="1037"/>
      <c r="AM339" s="1037"/>
      <c r="AN339" s="1037"/>
      <c r="AO339" s="1037"/>
      <c r="AP339" s="1037"/>
    </row>
    <row r="340" spans="1:42" s="226" customFormat="1">
      <c r="A340" s="2060"/>
      <c r="B340" s="1037"/>
      <c r="C340" s="1037"/>
      <c r="D340" s="1037"/>
      <c r="E340" s="1037"/>
      <c r="F340" s="1037"/>
      <c r="G340" s="1037"/>
      <c r="H340" s="1018"/>
      <c r="I340" s="1037"/>
      <c r="J340" s="1037"/>
      <c r="K340" s="1037"/>
      <c r="L340" s="1037"/>
      <c r="M340" s="1037"/>
      <c r="N340" s="1037"/>
      <c r="O340" s="1037"/>
      <c r="P340" s="1037"/>
      <c r="Q340" s="1037"/>
      <c r="R340" s="1037"/>
      <c r="S340" s="1037"/>
      <c r="T340" s="1037"/>
      <c r="U340" s="1037"/>
      <c r="V340" s="1037"/>
      <c r="W340" s="1037"/>
      <c r="X340" s="1037"/>
      <c r="Y340" s="1037"/>
      <c r="Z340" s="1037"/>
      <c r="AA340" s="1037"/>
      <c r="AB340" s="1037"/>
      <c r="AC340" s="1037"/>
      <c r="AD340" s="1037"/>
      <c r="AE340" s="1037"/>
      <c r="AF340" s="1037"/>
      <c r="AG340" s="1037"/>
      <c r="AH340" s="1037"/>
      <c r="AI340" s="1037"/>
      <c r="AJ340" s="1037"/>
      <c r="AK340" s="1037"/>
      <c r="AL340" s="1037"/>
      <c r="AM340" s="1037"/>
      <c r="AN340" s="1037"/>
      <c r="AO340" s="1037"/>
      <c r="AP340" s="1037"/>
    </row>
    <row r="341" spans="1:42" s="226" customFormat="1">
      <c r="A341" s="2060"/>
      <c r="B341" s="1037"/>
      <c r="C341" s="1037"/>
      <c r="D341" s="1037"/>
      <c r="E341" s="1037"/>
      <c r="F341" s="1037"/>
      <c r="G341" s="1037"/>
      <c r="H341" s="1018"/>
      <c r="I341" s="1037"/>
      <c r="J341" s="1037"/>
      <c r="K341" s="1037"/>
      <c r="L341" s="1037"/>
      <c r="M341" s="1037"/>
      <c r="N341" s="1037"/>
      <c r="O341" s="1037"/>
      <c r="P341" s="1037"/>
      <c r="Q341" s="1037"/>
      <c r="R341" s="1037"/>
      <c r="S341" s="1037"/>
      <c r="T341" s="1037"/>
      <c r="U341" s="1037"/>
      <c r="V341" s="1037"/>
      <c r="W341" s="1037"/>
      <c r="X341" s="1037"/>
      <c r="Y341" s="1037"/>
      <c r="Z341" s="1037"/>
      <c r="AA341" s="1037"/>
      <c r="AB341" s="1037"/>
      <c r="AC341" s="1037"/>
      <c r="AD341" s="1037"/>
      <c r="AE341" s="1037"/>
      <c r="AF341" s="1037"/>
      <c r="AG341" s="1037"/>
      <c r="AH341" s="1037"/>
      <c r="AI341" s="1037"/>
      <c r="AJ341" s="1037"/>
      <c r="AK341" s="1037"/>
      <c r="AL341" s="1037"/>
      <c r="AM341" s="1037"/>
      <c r="AN341" s="1037"/>
      <c r="AO341" s="1037"/>
      <c r="AP341" s="1037"/>
    </row>
    <row r="342" spans="1:42" s="226" customFormat="1">
      <c r="A342" s="2060"/>
      <c r="B342" s="1037"/>
      <c r="C342" s="1037"/>
      <c r="D342" s="1037"/>
      <c r="E342" s="1037"/>
      <c r="F342" s="1037"/>
      <c r="G342" s="1037"/>
      <c r="H342" s="1018"/>
      <c r="I342" s="1037"/>
      <c r="J342" s="1037"/>
      <c r="K342" s="1037"/>
      <c r="L342" s="1037"/>
      <c r="M342" s="1037"/>
      <c r="N342" s="1037"/>
      <c r="O342" s="1037"/>
      <c r="P342" s="1037"/>
      <c r="Q342" s="1037"/>
      <c r="R342" s="1037"/>
      <c r="S342" s="1037"/>
      <c r="T342" s="1037"/>
      <c r="U342" s="1037"/>
      <c r="V342" s="1037"/>
      <c r="W342" s="1037"/>
      <c r="X342" s="1037"/>
      <c r="Y342" s="1037"/>
      <c r="Z342" s="1037"/>
      <c r="AA342" s="1037"/>
      <c r="AB342" s="1037"/>
      <c r="AC342" s="1037"/>
      <c r="AD342" s="1037"/>
      <c r="AE342" s="1037"/>
      <c r="AF342" s="1037"/>
      <c r="AG342" s="1037"/>
      <c r="AH342" s="1037"/>
      <c r="AI342" s="1037"/>
      <c r="AJ342" s="1037"/>
      <c r="AK342" s="1037"/>
      <c r="AL342" s="1037"/>
      <c r="AM342" s="1037"/>
      <c r="AN342" s="1037"/>
      <c r="AO342" s="1037"/>
      <c r="AP342" s="1037"/>
    </row>
    <row r="343" spans="1:42" s="226" customFormat="1">
      <c r="A343" s="2060"/>
      <c r="B343" s="1037"/>
      <c r="C343" s="1037"/>
      <c r="D343" s="1037"/>
      <c r="E343" s="1037"/>
      <c r="F343" s="1037"/>
      <c r="G343" s="1037"/>
      <c r="H343" s="1018"/>
      <c r="I343" s="1037"/>
      <c r="J343" s="1037"/>
      <c r="K343" s="1037"/>
      <c r="L343" s="1037"/>
      <c r="M343" s="1037"/>
      <c r="N343" s="1037"/>
      <c r="O343" s="1037"/>
      <c r="P343" s="1037"/>
      <c r="Q343" s="1037"/>
      <c r="R343" s="1037"/>
      <c r="S343" s="1037"/>
      <c r="T343" s="1037"/>
      <c r="U343" s="1037"/>
      <c r="V343" s="1037"/>
      <c r="W343" s="1037"/>
      <c r="X343" s="1037"/>
      <c r="Y343" s="1037"/>
      <c r="Z343" s="1037"/>
      <c r="AA343" s="1037"/>
      <c r="AB343" s="1037"/>
      <c r="AC343" s="1037"/>
      <c r="AD343" s="1037"/>
      <c r="AE343" s="1037"/>
      <c r="AF343" s="1037"/>
      <c r="AG343" s="1037"/>
      <c r="AH343" s="1037"/>
      <c r="AI343" s="1037"/>
      <c r="AJ343" s="1037"/>
      <c r="AK343" s="1037"/>
      <c r="AL343" s="1037"/>
      <c r="AM343" s="1037"/>
      <c r="AN343" s="1037"/>
      <c r="AO343" s="1037"/>
      <c r="AP343" s="1037"/>
    </row>
    <row r="344" spans="1:42" s="226" customFormat="1">
      <c r="A344" s="2060"/>
      <c r="B344" s="1037"/>
      <c r="C344" s="1037"/>
      <c r="D344" s="1037"/>
      <c r="E344" s="1037"/>
      <c r="F344" s="1037"/>
      <c r="G344" s="1037"/>
      <c r="H344" s="1018"/>
      <c r="I344" s="1037"/>
      <c r="J344" s="1037"/>
      <c r="K344" s="1037"/>
      <c r="L344" s="1037"/>
      <c r="M344" s="1037"/>
      <c r="N344" s="1037"/>
      <c r="O344" s="1037"/>
      <c r="P344" s="1037"/>
      <c r="Q344" s="1037"/>
      <c r="R344" s="1037"/>
      <c r="S344" s="1037"/>
      <c r="T344" s="1037"/>
      <c r="U344" s="1037"/>
      <c r="V344" s="1037"/>
      <c r="W344" s="1037"/>
      <c r="X344" s="1037"/>
      <c r="Y344" s="1037"/>
      <c r="Z344" s="1037"/>
      <c r="AA344" s="1037"/>
      <c r="AB344" s="1037"/>
      <c r="AC344" s="1037"/>
      <c r="AD344" s="1037"/>
      <c r="AE344" s="1037"/>
      <c r="AF344" s="1037"/>
      <c r="AG344" s="1037"/>
      <c r="AH344" s="1037"/>
      <c r="AI344" s="1037"/>
      <c r="AJ344" s="1037"/>
      <c r="AK344" s="1037"/>
      <c r="AL344" s="1037"/>
      <c r="AM344" s="1037"/>
      <c r="AN344" s="1037"/>
      <c r="AO344" s="1037"/>
      <c r="AP344" s="1037"/>
    </row>
    <row r="345" spans="1:42" s="226" customFormat="1">
      <c r="A345" s="2060"/>
      <c r="B345" s="1037"/>
      <c r="C345" s="1037"/>
      <c r="D345" s="1037"/>
      <c r="E345" s="1037"/>
      <c r="F345" s="1037"/>
      <c r="G345" s="1037"/>
      <c r="H345" s="1018"/>
      <c r="I345" s="1037"/>
      <c r="J345" s="1037"/>
      <c r="K345" s="1037"/>
      <c r="L345" s="1037"/>
      <c r="M345" s="1037"/>
      <c r="N345" s="1037"/>
      <c r="O345" s="1037"/>
      <c r="P345" s="1037"/>
      <c r="Q345" s="1037"/>
      <c r="R345" s="1037"/>
      <c r="S345" s="1037"/>
      <c r="T345" s="1037"/>
      <c r="U345" s="1037"/>
      <c r="V345" s="1037"/>
      <c r="W345" s="1037"/>
      <c r="X345" s="1037"/>
      <c r="Y345" s="1037"/>
      <c r="Z345" s="1037"/>
      <c r="AA345" s="1037"/>
      <c r="AB345" s="1037"/>
      <c r="AC345" s="1037"/>
      <c r="AD345" s="1037"/>
      <c r="AE345" s="1037"/>
      <c r="AF345" s="1037"/>
      <c r="AG345" s="1037"/>
      <c r="AH345" s="1037"/>
      <c r="AI345" s="1037"/>
      <c r="AJ345" s="1037"/>
      <c r="AK345" s="1037"/>
      <c r="AL345" s="1037"/>
      <c r="AM345" s="1037"/>
      <c r="AN345" s="1037"/>
      <c r="AO345" s="1037"/>
      <c r="AP345" s="1037"/>
    </row>
    <row r="346" spans="1:42" s="226" customFormat="1">
      <c r="A346" s="2060"/>
      <c r="B346" s="1037"/>
      <c r="C346" s="1037"/>
      <c r="D346" s="1037"/>
      <c r="E346" s="1037"/>
      <c r="F346" s="1037"/>
      <c r="G346" s="1037"/>
      <c r="H346" s="1018"/>
      <c r="I346" s="1037"/>
      <c r="J346" s="1037"/>
      <c r="K346" s="1037"/>
      <c r="L346" s="1037"/>
      <c r="M346" s="1037"/>
      <c r="N346" s="1037"/>
      <c r="O346" s="1037"/>
      <c r="P346" s="1037"/>
      <c r="Q346" s="1037"/>
      <c r="R346" s="1037"/>
      <c r="S346" s="1037"/>
      <c r="T346" s="1037"/>
      <c r="U346" s="1037"/>
      <c r="V346" s="1037"/>
      <c r="W346" s="1037"/>
      <c r="X346" s="1037"/>
      <c r="Y346" s="1037"/>
      <c r="Z346" s="1037"/>
      <c r="AA346" s="1037"/>
      <c r="AB346" s="1037"/>
      <c r="AC346" s="1037"/>
      <c r="AD346" s="1037"/>
      <c r="AE346" s="1037"/>
      <c r="AF346" s="1037"/>
      <c r="AG346" s="1037"/>
      <c r="AH346" s="1037"/>
      <c r="AI346" s="1037"/>
      <c r="AJ346" s="1037"/>
      <c r="AK346" s="1037"/>
      <c r="AL346" s="1037"/>
      <c r="AM346" s="1037"/>
      <c r="AN346" s="1037"/>
      <c r="AO346" s="1037"/>
      <c r="AP346" s="1037"/>
    </row>
    <row r="347" spans="1:42" s="226" customFormat="1">
      <c r="A347" s="2060"/>
      <c r="B347" s="1037"/>
      <c r="C347" s="1037"/>
      <c r="D347" s="1037"/>
      <c r="E347" s="1037"/>
      <c r="F347" s="1037"/>
      <c r="G347" s="1037"/>
      <c r="H347" s="1018"/>
      <c r="I347" s="1037"/>
      <c r="J347" s="1037"/>
      <c r="K347" s="1037"/>
      <c r="L347" s="1037"/>
      <c r="M347" s="1037"/>
      <c r="N347" s="1037"/>
      <c r="O347" s="1037"/>
      <c r="P347" s="1037"/>
      <c r="Q347" s="1037"/>
      <c r="R347" s="1037"/>
      <c r="S347" s="1037"/>
      <c r="T347" s="1037"/>
      <c r="U347" s="1037"/>
      <c r="V347" s="1037"/>
      <c r="W347" s="1037"/>
      <c r="X347" s="1037"/>
      <c r="Y347" s="1037"/>
      <c r="Z347" s="1037"/>
      <c r="AA347" s="1037"/>
      <c r="AB347" s="1037"/>
      <c r="AC347" s="1037"/>
      <c r="AD347" s="1037"/>
      <c r="AE347" s="1037"/>
      <c r="AF347" s="1037"/>
      <c r="AG347" s="1037"/>
      <c r="AH347" s="1037"/>
      <c r="AI347" s="1037"/>
      <c r="AJ347" s="1037"/>
      <c r="AK347" s="1037"/>
      <c r="AL347" s="1037"/>
      <c r="AM347" s="1037"/>
      <c r="AN347" s="1037"/>
      <c r="AO347" s="1037"/>
      <c r="AP347" s="1037"/>
    </row>
    <row r="348" spans="1:42" s="226" customFormat="1">
      <c r="A348" s="2060"/>
      <c r="B348" s="1037"/>
      <c r="C348" s="1037"/>
      <c r="D348" s="1037"/>
      <c r="E348" s="1037"/>
      <c r="F348" s="1037"/>
      <c r="G348" s="1037"/>
      <c r="H348" s="1018"/>
      <c r="I348" s="1037"/>
      <c r="J348" s="1037"/>
      <c r="K348" s="1037"/>
      <c r="L348" s="1037"/>
      <c r="M348" s="1037"/>
      <c r="N348" s="1037"/>
      <c r="O348" s="1037"/>
      <c r="P348" s="1037"/>
      <c r="Q348" s="1037"/>
      <c r="R348" s="1037"/>
      <c r="S348" s="1037"/>
      <c r="T348" s="1037"/>
      <c r="U348" s="1037"/>
      <c r="V348" s="1037"/>
      <c r="W348" s="1037"/>
      <c r="X348" s="1037"/>
      <c r="Y348" s="1037"/>
      <c r="Z348" s="1037"/>
      <c r="AA348" s="1037"/>
      <c r="AB348" s="1037"/>
      <c r="AC348" s="1037"/>
      <c r="AD348" s="1037"/>
      <c r="AE348" s="1037"/>
      <c r="AF348" s="1037"/>
      <c r="AG348" s="1037"/>
      <c r="AH348" s="1037"/>
      <c r="AI348" s="1037"/>
      <c r="AJ348" s="1037"/>
      <c r="AK348" s="1037"/>
      <c r="AL348" s="1037"/>
      <c r="AM348" s="1037"/>
      <c r="AN348" s="1037"/>
      <c r="AO348" s="1037"/>
      <c r="AP348" s="1037"/>
    </row>
    <row r="349" spans="1:42" s="226" customFormat="1">
      <c r="A349" s="2060"/>
      <c r="B349" s="1037"/>
      <c r="C349" s="1037"/>
      <c r="D349" s="1037"/>
      <c r="E349" s="1037"/>
      <c r="F349" s="1037"/>
      <c r="G349" s="1037"/>
      <c r="H349" s="1018"/>
      <c r="I349" s="1037"/>
      <c r="J349" s="1037"/>
      <c r="K349" s="1037"/>
      <c r="L349" s="1037"/>
      <c r="M349" s="1037"/>
      <c r="N349" s="1037"/>
      <c r="O349" s="1037"/>
      <c r="P349" s="1037"/>
      <c r="Q349" s="1037"/>
      <c r="R349" s="1037"/>
      <c r="S349" s="1037"/>
      <c r="T349" s="1037"/>
      <c r="U349" s="1037"/>
      <c r="V349" s="1037"/>
      <c r="W349" s="1037"/>
      <c r="X349" s="1037"/>
      <c r="Y349" s="1037"/>
      <c r="Z349" s="1037"/>
      <c r="AA349" s="1037"/>
      <c r="AB349" s="1037"/>
      <c r="AC349" s="1037"/>
      <c r="AD349" s="1037"/>
      <c r="AE349" s="1037"/>
      <c r="AF349" s="1037"/>
      <c r="AG349" s="1037"/>
      <c r="AH349" s="1037"/>
      <c r="AI349" s="1037"/>
      <c r="AJ349" s="1037"/>
      <c r="AK349" s="1037"/>
      <c r="AL349" s="1037"/>
      <c r="AM349" s="1037"/>
      <c r="AN349" s="1037"/>
      <c r="AO349" s="1037"/>
      <c r="AP349" s="1037"/>
    </row>
    <row r="350" spans="1:42" s="226" customFormat="1">
      <c r="A350" s="2060"/>
      <c r="B350" s="1037"/>
      <c r="C350" s="1037"/>
      <c r="D350" s="1037"/>
      <c r="E350" s="1037"/>
      <c r="F350" s="1037"/>
      <c r="G350" s="1037"/>
      <c r="H350" s="1018"/>
      <c r="I350" s="1037"/>
      <c r="J350" s="1037"/>
      <c r="K350" s="1037"/>
      <c r="L350" s="1037"/>
      <c r="M350" s="1037"/>
      <c r="N350" s="1037"/>
      <c r="O350" s="1037"/>
      <c r="P350" s="1037"/>
      <c r="Q350" s="1037"/>
      <c r="R350" s="1037"/>
      <c r="S350" s="1037"/>
      <c r="T350" s="1037"/>
      <c r="U350" s="1037"/>
      <c r="V350" s="1037"/>
      <c r="W350" s="1037"/>
      <c r="X350" s="1037"/>
      <c r="Y350" s="1037"/>
      <c r="Z350" s="1037"/>
      <c r="AA350" s="1037"/>
      <c r="AB350" s="1037"/>
      <c r="AC350" s="1037"/>
      <c r="AD350" s="1037"/>
      <c r="AE350" s="1037"/>
      <c r="AF350" s="1037"/>
      <c r="AG350" s="1037"/>
      <c r="AH350" s="1037"/>
      <c r="AI350" s="1037"/>
      <c r="AJ350" s="1037"/>
      <c r="AK350" s="1037"/>
      <c r="AL350" s="1037"/>
      <c r="AM350" s="1037"/>
      <c r="AN350" s="1037"/>
      <c r="AO350" s="1037"/>
      <c r="AP350" s="1037"/>
    </row>
    <row r="351" spans="1:42" s="226" customFormat="1">
      <c r="A351" s="2060"/>
      <c r="B351" s="1037"/>
      <c r="C351" s="1037"/>
      <c r="D351" s="1037"/>
      <c r="E351" s="1037"/>
      <c r="F351" s="1037"/>
      <c r="G351" s="1037"/>
      <c r="H351" s="1018"/>
      <c r="I351" s="1037"/>
      <c r="J351" s="1037"/>
      <c r="K351" s="1037"/>
      <c r="L351" s="1037"/>
      <c r="M351" s="1037"/>
      <c r="N351" s="1037"/>
      <c r="O351" s="1037"/>
      <c r="P351" s="1037"/>
      <c r="Q351" s="1037"/>
      <c r="R351" s="1037"/>
      <c r="S351" s="1037"/>
      <c r="T351" s="1037"/>
      <c r="U351" s="1037"/>
      <c r="V351" s="1037"/>
      <c r="W351" s="1037"/>
      <c r="X351" s="1037"/>
      <c r="Y351" s="1037"/>
      <c r="Z351" s="1037"/>
      <c r="AA351" s="1037"/>
      <c r="AB351" s="1037"/>
      <c r="AC351" s="1037"/>
      <c r="AD351" s="1037"/>
      <c r="AE351" s="1037"/>
      <c r="AF351" s="1037"/>
      <c r="AG351" s="1037"/>
      <c r="AH351" s="1037"/>
      <c r="AI351" s="1037"/>
      <c r="AJ351" s="1037"/>
      <c r="AK351" s="1037"/>
      <c r="AL351" s="1037"/>
      <c r="AM351" s="1037"/>
      <c r="AN351" s="1037"/>
      <c r="AO351" s="1037"/>
      <c r="AP351" s="1037"/>
    </row>
    <row r="352" spans="1:42" s="226" customFormat="1">
      <c r="A352" s="2060"/>
      <c r="B352" s="1037"/>
      <c r="C352" s="1037"/>
      <c r="D352" s="1037"/>
      <c r="E352" s="1037"/>
      <c r="F352" s="1037"/>
      <c r="G352" s="1037"/>
      <c r="H352" s="1018"/>
      <c r="I352" s="1037"/>
      <c r="J352" s="1037"/>
      <c r="K352" s="1037"/>
      <c r="L352" s="1037"/>
      <c r="M352" s="1037"/>
      <c r="N352" s="1037"/>
      <c r="O352" s="1037"/>
      <c r="P352" s="1037"/>
      <c r="Q352" s="1037"/>
      <c r="R352" s="1037"/>
      <c r="S352" s="1037"/>
      <c r="T352" s="1037"/>
      <c r="U352" s="1037"/>
      <c r="V352" s="1037"/>
      <c r="W352" s="1037"/>
      <c r="X352" s="1037"/>
      <c r="Y352" s="1037"/>
      <c r="Z352" s="1037"/>
      <c r="AA352" s="1037"/>
      <c r="AB352" s="1037"/>
      <c r="AC352" s="1037"/>
      <c r="AD352" s="1037"/>
      <c r="AE352" s="1037"/>
      <c r="AF352" s="1037"/>
      <c r="AG352" s="1037"/>
      <c r="AH352" s="1037"/>
      <c r="AI352" s="1037"/>
      <c r="AJ352" s="1037"/>
      <c r="AK352" s="1037"/>
      <c r="AL352" s="1037"/>
      <c r="AM352" s="1037"/>
      <c r="AN352" s="1037"/>
      <c r="AO352" s="1037"/>
      <c r="AP352" s="1037"/>
    </row>
    <row r="353" spans="1:42" s="226" customFormat="1">
      <c r="A353" s="2060"/>
      <c r="B353" s="1037"/>
      <c r="C353" s="1037"/>
      <c r="D353" s="1037"/>
      <c r="E353" s="1037"/>
      <c r="F353" s="1037"/>
      <c r="G353" s="1037"/>
      <c r="H353" s="1018"/>
      <c r="I353" s="1037"/>
      <c r="J353" s="1037"/>
      <c r="K353" s="1037"/>
      <c r="L353" s="1037"/>
      <c r="M353" s="1037"/>
      <c r="N353" s="1037"/>
      <c r="O353" s="1037"/>
      <c r="P353" s="1037"/>
      <c r="Q353" s="1037"/>
      <c r="R353" s="1037"/>
      <c r="S353" s="1037"/>
      <c r="T353" s="1037"/>
      <c r="U353" s="1037"/>
      <c r="V353" s="1037"/>
      <c r="W353" s="1037"/>
      <c r="X353" s="1037"/>
      <c r="Y353" s="1037"/>
      <c r="Z353" s="1037"/>
      <c r="AA353" s="1037"/>
      <c r="AB353" s="1037"/>
      <c r="AC353" s="1037"/>
      <c r="AD353" s="1037"/>
      <c r="AE353" s="1037"/>
      <c r="AF353" s="1037"/>
      <c r="AG353" s="1037"/>
      <c r="AH353" s="1037"/>
      <c r="AI353" s="1037"/>
      <c r="AJ353" s="1037"/>
      <c r="AK353" s="1037"/>
      <c r="AL353" s="1037"/>
      <c r="AM353" s="1037"/>
      <c r="AN353" s="1037"/>
      <c r="AO353" s="1037"/>
      <c r="AP353" s="1037"/>
    </row>
    <row r="354" spans="1:42" s="226" customFormat="1">
      <c r="A354" s="2060"/>
      <c r="B354" s="1037"/>
      <c r="C354" s="1037"/>
      <c r="D354" s="1037"/>
      <c r="E354" s="1037"/>
      <c r="F354" s="1037"/>
      <c r="G354" s="1037"/>
      <c r="H354" s="1018"/>
      <c r="I354" s="1037"/>
      <c r="J354" s="1037"/>
      <c r="K354" s="1037"/>
      <c r="L354" s="1037"/>
      <c r="M354" s="1037"/>
      <c r="N354" s="1037"/>
      <c r="O354" s="1037"/>
      <c r="P354" s="1037"/>
      <c r="Q354" s="1037"/>
      <c r="R354" s="1037"/>
      <c r="S354" s="1037"/>
      <c r="T354" s="1037"/>
      <c r="U354" s="1037"/>
      <c r="V354" s="1037"/>
      <c r="W354" s="1037"/>
      <c r="X354" s="1037"/>
      <c r="Y354" s="1037"/>
      <c r="Z354" s="1037"/>
      <c r="AA354" s="1037"/>
      <c r="AB354" s="1037"/>
      <c r="AC354" s="1037"/>
      <c r="AD354" s="1037"/>
      <c r="AE354" s="1037"/>
      <c r="AF354" s="1037"/>
      <c r="AG354" s="1037"/>
      <c r="AH354" s="1037"/>
      <c r="AI354" s="1037"/>
      <c r="AJ354" s="1037"/>
      <c r="AK354" s="1037"/>
      <c r="AL354" s="1037"/>
      <c r="AM354" s="1037"/>
      <c r="AN354" s="1037"/>
      <c r="AO354" s="1037"/>
      <c r="AP354" s="1037"/>
    </row>
    <row r="355" spans="1:42" s="226" customFormat="1">
      <c r="A355" s="2060"/>
      <c r="B355" s="1037"/>
      <c r="C355" s="1037"/>
      <c r="D355" s="1037"/>
      <c r="E355" s="1037"/>
      <c r="F355" s="1037"/>
      <c r="G355" s="1037"/>
      <c r="H355" s="1018"/>
      <c r="I355" s="1037"/>
      <c r="J355" s="1037"/>
      <c r="K355" s="1037"/>
      <c r="L355" s="1037"/>
      <c r="M355" s="1037"/>
      <c r="N355" s="1037"/>
      <c r="O355" s="1037"/>
      <c r="P355" s="1037"/>
      <c r="Q355" s="1037"/>
      <c r="R355" s="1037"/>
      <c r="S355" s="1037"/>
      <c r="T355" s="1037"/>
      <c r="U355" s="1037"/>
      <c r="V355" s="1037"/>
      <c r="W355" s="1037"/>
      <c r="X355" s="1037"/>
      <c r="Y355" s="1037"/>
      <c r="Z355" s="1037"/>
      <c r="AA355" s="1037"/>
      <c r="AB355" s="1037"/>
      <c r="AC355" s="1037"/>
      <c r="AD355" s="1037"/>
      <c r="AE355" s="1037"/>
      <c r="AF355" s="1037"/>
      <c r="AG355" s="1037"/>
      <c r="AH355" s="1037"/>
      <c r="AI355" s="1037"/>
      <c r="AJ355" s="1037"/>
      <c r="AK355" s="1037"/>
      <c r="AL355" s="1037"/>
      <c r="AM355" s="1037"/>
      <c r="AN355" s="1037"/>
      <c r="AO355" s="1037"/>
      <c r="AP355" s="1037"/>
    </row>
    <row r="356" spans="1:42" s="226" customFormat="1">
      <c r="A356" s="2060"/>
      <c r="B356" s="1037"/>
      <c r="C356" s="1037"/>
      <c r="D356" s="1037"/>
      <c r="E356" s="1037"/>
      <c r="F356" s="1037"/>
      <c r="G356" s="1037"/>
      <c r="H356" s="1018"/>
      <c r="I356" s="1037"/>
      <c r="J356" s="1037"/>
      <c r="K356" s="1037"/>
      <c r="L356" s="1037"/>
      <c r="M356" s="1037"/>
      <c r="N356" s="1037"/>
      <c r="O356" s="1037"/>
      <c r="P356" s="1037"/>
      <c r="Q356" s="1037"/>
      <c r="R356" s="1037"/>
      <c r="S356" s="1037"/>
      <c r="T356" s="1037"/>
      <c r="U356" s="1037"/>
      <c r="V356" s="1037"/>
      <c r="W356" s="1037"/>
      <c r="X356" s="1037"/>
      <c r="Y356" s="1037"/>
      <c r="Z356" s="1037"/>
      <c r="AA356" s="1037"/>
      <c r="AB356" s="1037"/>
      <c r="AC356" s="1037"/>
      <c r="AD356" s="1037"/>
      <c r="AE356" s="1037"/>
      <c r="AF356" s="1037"/>
      <c r="AG356" s="1037"/>
      <c r="AH356" s="1037"/>
      <c r="AI356" s="1037"/>
      <c r="AJ356" s="1037"/>
      <c r="AK356" s="1037"/>
      <c r="AL356" s="1037"/>
      <c r="AM356" s="1037"/>
      <c r="AN356" s="1037"/>
      <c r="AO356" s="1037"/>
      <c r="AP356" s="1037"/>
    </row>
    <row r="357" spans="1:42" s="226" customFormat="1">
      <c r="A357" s="2060"/>
      <c r="B357" s="1037"/>
      <c r="C357" s="1037"/>
      <c r="D357" s="1037"/>
      <c r="E357" s="1037"/>
      <c r="F357" s="1037"/>
      <c r="G357" s="1037"/>
      <c r="H357" s="1018"/>
      <c r="I357" s="1037"/>
      <c r="J357" s="1037"/>
      <c r="K357" s="1037"/>
      <c r="L357" s="1037"/>
      <c r="M357" s="1037"/>
      <c r="N357" s="1037"/>
      <c r="O357" s="1037"/>
      <c r="P357" s="1037"/>
      <c r="Q357" s="1037"/>
      <c r="R357" s="1037"/>
      <c r="S357" s="1037"/>
      <c r="T357" s="1037"/>
      <c r="U357" s="1037"/>
      <c r="V357" s="1037"/>
      <c r="W357" s="1037"/>
      <c r="X357" s="1037"/>
      <c r="Y357" s="1037"/>
      <c r="Z357" s="1037"/>
      <c r="AA357" s="1037"/>
      <c r="AB357" s="1037"/>
      <c r="AC357" s="1037"/>
      <c r="AD357" s="1037"/>
      <c r="AE357" s="1037"/>
      <c r="AF357" s="1037"/>
      <c r="AG357" s="1037"/>
      <c r="AH357" s="1037"/>
      <c r="AI357" s="1037"/>
      <c r="AJ357" s="1037"/>
      <c r="AK357" s="1037"/>
      <c r="AL357" s="1037"/>
      <c r="AM357" s="1037"/>
      <c r="AN357" s="1037"/>
      <c r="AO357" s="1037"/>
      <c r="AP357" s="1037"/>
    </row>
    <row r="358" spans="1:42" s="226" customFormat="1">
      <c r="A358" s="2060"/>
      <c r="B358" s="1037"/>
      <c r="C358" s="1037"/>
      <c r="D358" s="1037"/>
      <c r="E358" s="1037"/>
      <c r="F358" s="1037"/>
      <c r="G358" s="1037"/>
      <c r="H358" s="1018"/>
      <c r="I358" s="1037"/>
      <c r="J358" s="1037"/>
      <c r="K358" s="1037"/>
      <c r="L358" s="1037"/>
      <c r="M358" s="1037"/>
      <c r="N358" s="1037"/>
      <c r="O358" s="1037"/>
      <c r="P358" s="1037"/>
      <c r="Q358" s="1037"/>
      <c r="R358" s="1037"/>
      <c r="S358" s="1037"/>
      <c r="T358" s="1037"/>
      <c r="U358" s="1037"/>
      <c r="V358" s="1037"/>
      <c r="W358" s="1037"/>
      <c r="X358" s="1037"/>
      <c r="Y358" s="1037"/>
      <c r="Z358" s="1037"/>
      <c r="AA358" s="1037"/>
      <c r="AB358" s="1037"/>
      <c r="AC358" s="1037"/>
      <c r="AD358" s="1037"/>
      <c r="AE358" s="1037"/>
      <c r="AF358" s="1037"/>
      <c r="AG358" s="1037"/>
      <c r="AH358" s="1037"/>
      <c r="AI358" s="1037"/>
      <c r="AJ358" s="1037"/>
      <c r="AK358" s="1037"/>
      <c r="AL358" s="1037"/>
      <c r="AM358" s="1037"/>
      <c r="AN358" s="1037"/>
      <c r="AO358" s="1037"/>
      <c r="AP358" s="1037"/>
    </row>
    <row r="359" spans="1:42" s="226" customFormat="1">
      <c r="A359" s="2060"/>
      <c r="B359" s="1037"/>
      <c r="C359" s="1037"/>
      <c r="D359" s="1037"/>
      <c r="E359" s="1037"/>
      <c r="F359" s="1037"/>
      <c r="G359" s="1037"/>
      <c r="H359" s="1018"/>
      <c r="I359" s="1037"/>
      <c r="J359" s="1037"/>
      <c r="K359" s="1037"/>
      <c r="L359" s="1037"/>
      <c r="M359" s="1037"/>
      <c r="N359" s="1037"/>
      <c r="O359" s="1037"/>
      <c r="P359" s="1037"/>
      <c r="Q359" s="1037"/>
      <c r="R359" s="1037"/>
      <c r="S359" s="1037"/>
      <c r="T359" s="1037"/>
      <c r="U359" s="1037"/>
      <c r="V359" s="1037"/>
      <c r="W359" s="1037"/>
      <c r="X359" s="1037"/>
      <c r="Y359" s="1037"/>
      <c r="Z359" s="1037"/>
      <c r="AA359" s="1037"/>
      <c r="AB359" s="1037"/>
      <c r="AC359" s="1037"/>
      <c r="AD359" s="1037"/>
      <c r="AE359" s="1037"/>
      <c r="AF359" s="1037"/>
      <c r="AG359" s="1037"/>
      <c r="AH359" s="1037"/>
      <c r="AI359" s="1037"/>
      <c r="AJ359" s="1037"/>
      <c r="AK359" s="1037"/>
      <c r="AL359" s="1037"/>
      <c r="AM359" s="1037"/>
      <c r="AN359" s="1037"/>
      <c r="AO359" s="1037"/>
      <c r="AP359" s="1037"/>
    </row>
    <row r="360" spans="1:42" s="226" customFormat="1">
      <c r="A360" s="2060"/>
      <c r="B360" s="1037"/>
      <c r="C360" s="1037"/>
      <c r="D360" s="1037"/>
      <c r="E360" s="1037"/>
      <c r="F360" s="1037"/>
      <c r="G360" s="1037"/>
      <c r="H360" s="1018"/>
      <c r="I360" s="1037"/>
      <c r="J360" s="1037"/>
      <c r="K360" s="1037"/>
      <c r="L360" s="1037"/>
      <c r="M360" s="1037"/>
      <c r="N360" s="1037"/>
      <c r="O360" s="1037"/>
      <c r="P360" s="1037"/>
      <c r="Q360" s="1037"/>
      <c r="R360" s="1037"/>
      <c r="S360" s="1037"/>
      <c r="T360" s="1037"/>
      <c r="U360" s="1037"/>
      <c r="V360" s="1037"/>
      <c r="W360" s="1037"/>
      <c r="X360" s="1037"/>
      <c r="Y360" s="1037"/>
      <c r="Z360" s="1037"/>
      <c r="AA360" s="1037"/>
      <c r="AB360" s="1037"/>
      <c r="AC360" s="1037"/>
      <c r="AD360" s="1037"/>
      <c r="AE360" s="1037"/>
      <c r="AF360" s="1037"/>
      <c r="AG360" s="1037"/>
      <c r="AH360" s="1037"/>
      <c r="AI360" s="1037"/>
      <c r="AJ360" s="1037"/>
      <c r="AK360" s="1037"/>
      <c r="AL360" s="1037"/>
      <c r="AM360" s="1037"/>
      <c r="AN360" s="1037"/>
      <c r="AO360" s="1037"/>
      <c r="AP360" s="1037"/>
    </row>
    <row r="361" spans="1:42" s="226" customFormat="1">
      <c r="A361" s="2060"/>
      <c r="B361" s="1037"/>
      <c r="C361" s="1037"/>
      <c r="D361" s="1037"/>
      <c r="E361" s="1037"/>
      <c r="F361" s="1037"/>
      <c r="G361" s="1037"/>
      <c r="H361" s="1018"/>
      <c r="I361" s="1037"/>
      <c r="J361" s="1037"/>
      <c r="K361" s="1037"/>
      <c r="L361" s="1037"/>
      <c r="M361" s="1037"/>
      <c r="N361" s="1037"/>
      <c r="O361" s="1037"/>
      <c r="P361" s="1037"/>
      <c r="Q361" s="1037"/>
      <c r="R361" s="1037"/>
      <c r="S361" s="1037"/>
      <c r="T361" s="1037"/>
      <c r="U361" s="1037"/>
      <c r="V361" s="1037"/>
      <c r="W361" s="1037"/>
      <c r="X361" s="1037"/>
      <c r="Y361" s="1037"/>
      <c r="Z361" s="1037"/>
      <c r="AA361" s="1037"/>
      <c r="AB361" s="1037"/>
      <c r="AC361" s="1037"/>
      <c r="AD361" s="1037"/>
      <c r="AE361" s="1037"/>
      <c r="AF361" s="1037"/>
      <c r="AG361" s="1037"/>
      <c r="AH361" s="1037"/>
      <c r="AI361" s="1037"/>
      <c r="AJ361" s="1037"/>
      <c r="AK361" s="1037"/>
      <c r="AL361" s="1037"/>
      <c r="AM361" s="1037"/>
      <c r="AN361" s="1037"/>
      <c r="AO361" s="1037"/>
      <c r="AP361" s="1037"/>
    </row>
    <row r="362" spans="1:42" s="226" customFormat="1">
      <c r="A362" s="2060"/>
      <c r="B362" s="1037"/>
      <c r="C362" s="1037"/>
      <c r="D362" s="1037"/>
      <c r="E362" s="1037"/>
      <c r="F362" s="1037"/>
      <c r="G362" s="1037"/>
      <c r="H362" s="1018"/>
      <c r="I362" s="1037"/>
      <c r="J362" s="1037"/>
      <c r="K362" s="1037"/>
      <c r="L362" s="1037"/>
      <c r="M362" s="1037"/>
      <c r="N362" s="1037"/>
      <c r="O362" s="1037"/>
      <c r="P362" s="1037"/>
      <c r="Q362" s="1037"/>
      <c r="R362" s="1037"/>
      <c r="S362" s="1037"/>
      <c r="T362" s="1037"/>
      <c r="U362" s="1037"/>
      <c r="V362" s="1037"/>
      <c r="W362" s="1037"/>
      <c r="X362" s="1037"/>
      <c r="Y362" s="1037"/>
      <c r="Z362" s="1037"/>
      <c r="AA362" s="1037"/>
      <c r="AB362" s="1037"/>
      <c r="AC362" s="1037"/>
      <c r="AD362" s="1037"/>
      <c r="AE362" s="1037"/>
      <c r="AF362" s="1037"/>
      <c r="AG362" s="1037"/>
      <c r="AH362" s="1037"/>
      <c r="AI362" s="1037"/>
      <c r="AJ362" s="1037"/>
      <c r="AK362" s="1037"/>
      <c r="AL362" s="1037"/>
      <c r="AM362" s="1037"/>
      <c r="AN362" s="1037"/>
      <c r="AO362" s="1037"/>
      <c r="AP362" s="1037"/>
    </row>
    <row r="363" spans="1:42" s="226" customFormat="1">
      <c r="A363" s="2060"/>
      <c r="B363" s="1037"/>
      <c r="C363" s="1037"/>
      <c r="D363" s="1037"/>
      <c r="E363" s="1037"/>
      <c r="F363" s="1037"/>
      <c r="G363" s="1037"/>
      <c r="H363" s="1018"/>
      <c r="I363" s="1037"/>
      <c r="J363" s="1037"/>
      <c r="K363" s="1037"/>
      <c r="L363" s="1037"/>
      <c r="M363" s="1037"/>
      <c r="N363" s="1037"/>
      <c r="O363" s="1037"/>
      <c r="P363" s="1037"/>
      <c r="Q363" s="1037"/>
      <c r="R363" s="1037"/>
      <c r="S363" s="1037"/>
      <c r="T363" s="1037"/>
      <c r="U363" s="1037"/>
      <c r="V363" s="1037"/>
      <c r="W363" s="1037"/>
      <c r="X363" s="1037"/>
      <c r="Y363" s="1037"/>
      <c r="Z363" s="1037"/>
      <c r="AA363" s="1037"/>
      <c r="AB363" s="1037"/>
      <c r="AC363" s="1037"/>
      <c r="AD363" s="1037"/>
      <c r="AE363" s="1037"/>
      <c r="AF363" s="1037"/>
      <c r="AG363" s="1037"/>
      <c r="AH363" s="1037"/>
      <c r="AI363" s="1037"/>
      <c r="AJ363" s="1037"/>
      <c r="AK363" s="1037"/>
      <c r="AL363" s="1037"/>
      <c r="AM363" s="1037"/>
      <c r="AN363" s="1037"/>
      <c r="AO363" s="1037"/>
      <c r="AP363" s="1037"/>
    </row>
    <row r="364" spans="1:42" s="226" customFormat="1">
      <c r="A364" s="2060"/>
      <c r="B364" s="1037"/>
      <c r="C364" s="1037"/>
      <c r="D364" s="1037"/>
      <c r="E364" s="1037"/>
      <c r="F364" s="1037"/>
      <c r="G364" s="1037"/>
      <c r="H364" s="1018"/>
      <c r="I364" s="1037"/>
      <c r="J364" s="1037"/>
      <c r="K364" s="1037"/>
      <c r="L364" s="1037"/>
      <c r="M364" s="1037"/>
      <c r="N364" s="1037"/>
      <c r="O364" s="1037"/>
      <c r="P364" s="1037"/>
      <c r="Q364" s="1037"/>
      <c r="R364" s="1037"/>
      <c r="S364" s="1037"/>
      <c r="T364" s="1037"/>
      <c r="U364" s="1037"/>
      <c r="V364" s="1037"/>
      <c r="W364" s="1037"/>
      <c r="X364" s="1037"/>
      <c r="Y364" s="1037"/>
      <c r="Z364" s="1037"/>
      <c r="AA364" s="1037"/>
      <c r="AB364" s="1037"/>
      <c r="AC364" s="1037"/>
      <c r="AD364" s="1037"/>
      <c r="AE364" s="1037"/>
      <c r="AF364" s="1037"/>
      <c r="AG364" s="1037"/>
      <c r="AH364" s="1037"/>
      <c r="AI364" s="1037"/>
      <c r="AJ364" s="1037"/>
      <c r="AK364" s="1037"/>
      <c r="AL364" s="1037"/>
      <c r="AM364" s="1037"/>
      <c r="AN364" s="1037"/>
      <c r="AO364" s="1037"/>
      <c r="AP364" s="1037"/>
    </row>
    <row r="365" spans="1:42" s="226" customFormat="1">
      <c r="A365" s="2060"/>
      <c r="B365" s="1037"/>
      <c r="C365" s="1037"/>
      <c r="D365" s="1037"/>
      <c r="E365" s="1037"/>
      <c r="F365" s="1037"/>
      <c r="G365" s="1037"/>
      <c r="H365" s="1018"/>
      <c r="I365" s="1037"/>
      <c r="J365" s="1037"/>
      <c r="K365" s="1037"/>
      <c r="L365" s="1037"/>
      <c r="M365" s="1037"/>
      <c r="N365" s="1037"/>
      <c r="O365" s="1037"/>
      <c r="P365" s="1037"/>
      <c r="Q365" s="1037"/>
      <c r="R365" s="1037"/>
      <c r="S365" s="1037"/>
      <c r="T365" s="1037"/>
      <c r="U365" s="1037"/>
      <c r="V365" s="1037"/>
      <c r="W365" s="1037"/>
      <c r="X365" s="1037"/>
      <c r="Y365" s="1037"/>
      <c r="Z365" s="1037"/>
      <c r="AA365" s="1037"/>
      <c r="AB365" s="1037"/>
      <c r="AC365" s="1037"/>
      <c r="AD365" s="1037"/>
      <c r="AE365" s="1037"/>
      <c r="AF365" s="1037"/>
      <c r="AG365" s="1037"/>
      <c r="AH365" s="1037"/>
      <c r="AI365" s="1037"/>
      <c r="AJ365" s="1037"/>
      <c r="AK365" s="1037"/>
      <c r="AL365" s="1037"/>
      <c r="AM365" s="1037"/>
      <c r="AN365" s="1037"/>
      <c r="AO365" s="1037"/>
      <c r="AP365" s="1037"/>
    </row>
    <row r="366" spans="1:42" s="226" customFormat="1">
      <c r="A366" s="2060"/>
      <c r="B366" s="1037"/>
      <c r="C366" s="1037"/>
      <c r="D366" s="1037"/>
      <c r="E366" s="1037"/>
      <c r="F366" s="1037"/>
      <c r="G366" s="1037"/>
      <c r="H366" s="1018"/>
      <c r="I366" s="1037"/>
      <c r="J366" s="1037"/>
      <c r="K366" s="1037"/>
      <c r="L366" s="1037"/>
      <c r="M366" s="1037"/>
      <c r="N366" s="1037"/>
      <c r="O366" s="1037"/>
      <c r="P366" s="1037"/>
      <c r="Q366" s="1037"/>
      <c r="R366" s="1037"/>
      <c r="S366" s="1037"/>
      <c r="T366" s="1037"/>
      <c r="U366" s="1037"/>
      <c r="V366" s="1037"/>
      <c r="W366" s="1037"/>
      <c r="X366" s="1037"/>
      <c r="Y366" s="1037"/>
      <c r="Z366" s="1037"/>
      <c r="AA366" s="1037"/>
      <c r="AB366" s="1037"/>
      <c r="AC366" s="1037"/>
      <c r="AD366" s="1037"/>
      <c r="AE366" s="1037"/>
      <c r="AF366" s="1037"/>
      <c r="AG366" s="1037"/>
      <c r="AH366" s="1037"/>
      <c r="AI366" s="1037"/>
      <c r="AJ366" s="1037"/>
      <c r="AK366" s="1037"/>
      <c r="AL366" s="1037"/>
      <c r="AM366" s="1037"/>
      <c r="AN366" s="1037"/>
      <c r="AO366" s="1037"/>
      <c r="AP366" s="1037"/>
    </row>
    <row r="367" spans="1:42" s="226" customFormat="1">
      <c r="A367" s="2060"/>
      <c r="B367" s="1037"/>
      <c r="C367" s="1037"/>
      <c r="D367" s="1037"/>
      <c r="E367" s="1037"/>
      <c r="F367" s="1037"/>
      <c r="G367" s="1037"/>
      <c r="H367" s="1018"/>
      <c r="I367" s="1037"/>
      <c r="J367" s="1037"/>
      <c r="K367" s="1037"/>
      <c r="L367" s="1037"/>
      <c r="M367" s="1037"/>
      <c r="N367" s="1037"/>
      <c r="O367" s="1037"/>
      <c r="P367" s="1037"/>
      <c r="Q367" s="1037"/>
      <c r="R367" s="1037"/>
      <c r="S367" s="1037"/>
      <c r="T367" s="1037"/>
      <c r="U367" s="1037"/>
      <c r="V367" s="1037"/>
      <c r="W367" s="1037"/>
      <c r="X367" s="1037"/>
      <c r="Y367" s="1037"/>
      <c r="Z367" s="1037"/>
      <c r="AA367" s="1037"/>
      <c r="AB367" s="1037"/>
      <c r="AC367" s="1037"/>
      <c r="AD367" s="1037"/>
      <c r="AE367" s="1037"/>
      <c r="AF367" s="1037"/>
      <c r="AG367" s="1037"/>
      <c r="AH367" s="1037"/>
      <c r="AI367" s="1037"/>
      <c r="AJ367" s="1037"/>
      <c r="AK367" s="1037"/>
      <c r="AL367" s="1037"/>
      <c r="AM367" s="1037"/>
      <c r="AN367" s="1037"/>
      <c r="AO367" s="1037"/>
      <c r="AP367" s="1037"/>
    </row>
    <row r="368" spans="1:42" s="226" customFormat="1">
      <c r="A368" s="2060"/>
      <c r="B368" s="1037"/>
      <c r="C368" s="1037"/>
      <c r="D368" s="1037"/>
      <c r="E368" s="1037"/>
      <c r="F368" s="1037"/>
      <c r="G368" s="1037"/>
      <c r="H368" s="1018"/>
      <c r="I368" s="1037"/>
      <c r="J368" s="1037"/>
      <c r="K368" s="1037"/>
      <c r="L368" s="1037"/>
      <c r="M368" s="1037"/>
      <c r="N368" s="1037"/>
      <c r="O368" s="1037"/>
      <c r="P368" s="1037"/>
      <c r="Q368" s="1037"/>
      <c r="R368" s="1037"/>
      <c r="S368" s="1037"/>
      <c r="T368" s="1037"/>
      <c r="U368" s="1037"/>
      <c r="V368" s="1037"/>
      <c r="W368" s="1037"/>
      <c r="X368" s="1037"/>
      <c r="Y368" s="1037"/>
      <c r="Z368" s="1037"/>
      <c r="AA368" s="1037"/>
      <c r="AB368" s="1037"/>
      <c r="AC368" s="1037"/>
      <c r="AD368" s="1037"/>
      <c r="AE368" s="1037"/>
      <c r="AF368" s="1037"/>
      <c r="AG368" s="1037"/>
      <c r="AH368" s="1037"/>
      <c r="AI368" s="1037"/>
      <c r="AJ368" s="1037"/>
      <c r="AK368" s="1037"/>
      <c r="AL368" s="1037"/>
      <c r="AM368" s="1037"/>
      <c r="AN368" s="1037"/>
      <c r="AO368" s="1037"/>
      <c r="AP368" s="1037"/>
    </row>
    <row r="369" spans="1:42" s="226" customFormat="1">
      <c r="A369" s="2060"/>
      <c r="B369" s="1037"/>
      <c r="C369" s="1037"/>
      <c r="D369" s="1037"/>
      <c r="E369" s="1037"/>
      <c r="F369" s="1037"/>
      <c r="G369" s="1037"/>
      <c r="H369" s="1018"/>
      <c r="I369" s="1037"/>
      <c r="J369" s="1037"/>
      <c r="K369" s="1037"/>
      <c r="L369" s="1037"/>
      <c r="M369" s="1037"/>
      <c r="N369" s="1037"/>
      <c r="O369" s="1037"/>
      <c r="P369" s="1037"/>
      <c r="Q369" s="1037"/>
      <c r="R369" s="1037"/>
      <c r="S369" s="1037"/>
      <c r="T369" s="1037"/>
      <c r="U369" s="1037"/>
      <c r="V369" s="1037"/>
      <c r="W369" s="1037"/>
      <c r="X369" s="1037"/>
      <c r="Y369" s="1037"/>
      <c r="Z369" s="1037"/>
      <c r="AA369" s="1037"/>
      <c r="AB369" s="1037"/>
      <c r="AC369" s="1037"/>
      <c r="AD369" s="1037"/>
      <c r="AE369" s="1037"/>
      <c r="AF369" s="1037"/>
      <c r="AG369" s="1037"/>
      <c r="AH369" s="1037"/>
      <c r="AI369" s="1037"/>
      <c r="AJ369" s="1037"/>
      <c r="AK369" s="1037"/>
      <c r="AL369" s="1037"/>
      <c r="AM369" s="1037"/>
      <c r="AN369" s="1037"/>
      <c r="AO369" s="1037"/>
      <c r="AP369" s="1037"/>
    </row>
    <row r="370" spans="1:42" s="226" customFormat="1">
      <c r="A370" s="2060"/>
      <c r="B370" s="1037"/>
      <c r="C370" s="1037"/>
      <c r="D370" s="1037"/>
      <c r="E370" s="1037"/>
      <c r="F370" s="1037"/>
      <c r="G370" s="1037"/>
      <c r="H370" s="1018"/>
      <c r="I370" s="1037"/>
      <c r="J370" s="1037"/>
      <c r="K370" s="1037"/>
      <c r="L370" s="1037"/>
      <c r="M370" s="1037"/>
      <c r="N370" s="1037"/>
      <c r="O370" s="1037"/>
      <c r="P370" s="1037"/>
      <c r="Q370" s="1037"/>
      <c r="R370" s="1037"/>
      <c r="S370" s="1037"/>
      <c r="T370" s="1037"/>
      <c r="U370" s="1037"/>
      <c r="V370" s="1037"/>
      <c r="W370" s="1037"/>
      <c r="X370" s="1037"/>
      <c r="Y370" s="1037"/>
      <c r="Z370" s="1037"/>
      <c r="AA370" s="1037"/>
      <c r="AB370" s="1037"/>
      <c r="AC370" s="1037"/>
      <c r="AD370" s="1037"/>
      <c r="AE370" s="1037"/>
      <c r="AF370" s="1037"/>
      <c r="AG370" s="1037"/>
      <c r="AH370" s="1037"/>
      <c r="AI370" s="1037"/>
      <c r="AJ370" s="1037"/>
      <c r="AK370" s="1037"/>
      <c r="AL370" s="1037"/>
      <c r="AM370" s="1037"/>
      <c r="AN370" s="1037"/>
      <c r="AO370" s="1037"/>
      <c r="AP370" s="1037"/>
    </row>
    <row r="371" spans="1:42" s="226" customFormat="1">
      <c r="A371" s="2060"/>
      <c r="B371" s="1037"/>
      <c r="C371" s="1037"/>
      <c r="D371" s="1037"/>
      <c r="E371" s="1037"/>
      <c r="F371" s="1037"/>
      <c r="G371" s="1037"/>
      <c r="H371" s="1018"/>
      <c r="I371" s="1037"/>
      <c r="J371" s="1037"/>
      <c r="K371" s="1037"/>
      <c r="L371" s="1037"/>
      <c r="M371" s="1037"/>
      <c r="N371" s="1037"/>
      <c r="O371" s="1037"/>
      <c r="P371" s="1037"/>
      <c r="Q371" s="1037"/>
      <c r="R371" s="1037"/>
      <c r="S371" s="1037"/>
      <c r="T371" s="1037"/>
      <c r="U371" s="1037"/>
      <c r="V371" s="1037"/>
      <c r="W371" s="1037"/>
      <c r="X371" s="1037"/>
      <c r="Y371" s="1037"/>
      <c r="Z371" s="1037"/>
      <c r="AA371" s="1037"/>
      <c r="AB371" s="1037"/>
      <c r="AC371" s="1037"/>
      <c r="AD371" s="1037"/>
      <c r="AE371" s="1037"/>
      <c r="AF371" s="1037"/>
      <c r="AG371" s="1037"/>
      <c r="AH371" s="1037"/>
      <c r="AI371" s="1037"/>
      <c r="AJ371" s="1037"/>
      <c r="AK371" s="1037"/>
      <c r="AL371" s="1037"/>
      <c r="AM371" s="1037"/>
      <c r="AN371" s="1037"/>
      <c r="AO371" s="1037"/>
      <c r="AP371" s="1037"/>
    </row>
    <row r="372" spans="1:42" s="226" customFormat="1">
      <c r="A372" s="2060"/>
      <c r="B372" s="1037"/>
      <c r="C372" s="1037"/>
      <c r="D372" s="1037"/>
      <c r="E372" s="1037"/>
      <c r="F372" s="1037"/>
      <c r="G372" s="1037"/>
      <c r="H372" s="1018"/>
      <c r="I372" s="1037"/>
      <c r="J372" s="1037"/>
      <c r="K372" s="1037"/>
      <c r="L372" s="1037"/>
      <c r="M372" s="1037"/>
      <c r="N372" s="1037"/>
      <c r="O372" s="1037"/>
      <c r="P372" s="1037"/>
      <c r="Q372" s="1037"/>
      <c r="R372" s="1037"/>
      <c r="S372" s="1037"/>
      <c r="T372" s="1037"/>
      <c r="U372" s="1037"/>
      <c r="V372" s="1037"/>
      <c r="W372" s="1037"/>
      <c r="X372" s="1037"/>
      <c r="Y372" s="1037"/>
      <c r="Z372" s="1037"/>
      <c r="AA372" s="1037"/>
      <c r="AB372" s="1037"/>
      <c r="AC372" s="1037"/>
      <c r="AD372" s="1037"/>
      <c r="AE372" s="1037"/>
      <c r="AF372" s="1037"/>
      <c r="AG372" s="1037"/>
      <c r="AH372" s="1037"/>
      <c r="AI372" s="1037"/>
      <c r="AJ372" s="1037"/>
      <c r="AK372" s="1037"/>
      <c r="AL372" s="1037"/>
      <c r="AM372" s="1037"/>
      <c r="AN372" s="1037"/>
      <c r="AO372" s="1037"/>
      <c r="AP372" s="1037"/>
    </row>
    <row r="373" spans="1:42" s="226" customFormat="1">
      <c r="A373" s="2060"/>
      <c r="B373" s="1037"/>
      <c r="C373" s="1037"/>
      <c r="D373" s="1037"/>
      <c r="E373" s="1037"/>
      <c r="F373" s="1037"/>
      <c r="G373" s="1037"/>
      <c r="H373" s="1018"/>
      <c r="I373" s="1037"/>
      <c r="J373" s="1037"/>
      <c r="K373" s="1037"/>
      <c r="L373" s="1037"/>
      <c r="M373" s="1037"/>
      <c r="N373" s="1037"/>
      <c r="O373" s="1037"/>
      <c r="P373" s="1037"/>
      <c r="Q373" s="1037"/>
      <c r="R373" s="1037"/>
      <c r="S373" s="1037"/>
      <c r="T373" s="1037"/>
      <c r="U373" s="1037"/>
      <c r="V373" s="1037"/>
      <c r="W373" s="1037"/>
      <c r="X373" s="1037"/>
      <c r="Y373" s="1037"/>
      <c r="Z373" s="1037"/>
      <c r="AA373" s="1037"/>
      <c r="AB373" s="1037"/>
      <c r="AC373" s="1037"/>
      <c r="AD373" s="1037"/>
      <c r="AE373" s="1037"/>
      <c r="AF373" s="1037"/>
      <c r="AG373" s="1037"/>
      <c r="AH373" s="1037"/>
      <c r="AI373" s="1037"/>
      <c r="AJ373" s="1037"/>
      <c r="AK373" s="1037"/>
      <c r="AL373" s="1037"/>
      <c r="AM373" s="1037"/>
      <c r="AN373" s="1037"/>
      <c r="AO373" s="1037"/>
      <c r="AP373" s="1037"/>
    </row>
    <row r="374" spans="1:42" s="226" customFormat="1">
      <c r="A374" s="2060"/>
      <c r="B374" s="1037"/>
      <c r="C374" s="1037"/>
      <c r="D374" s="1037"/>
      <c r="E374" s="1037"/>
      <c r="F374" s="1037"/>
      <c r="G374" s="1037"/>
      <c r="H374" s="1018"/>
      <c r="I374" s="1037"/>
      <c r="J374" s="1037"/>
      <c r="K374" s="1037"/>
      <c r="L374" s="1037"/>
      <c r="M374" s="1037"/>
      <c r="N374" s="1037"/>
      <c r="O374" s="1037"/>
      <c r="P374" s="1037"/>
      <c r="Q374" s="1037"/>
      <c r="R374" s="1037"/>
      <c r="S374" s="1037"/>
      <c r="T374" s="1037"/>
      <c r="U374" s="1037"/>
      <c r="V374" s="1037"/>
      <c r="W374" s="1037"/>
      <c r="X374" s="1037"/>
      <c r="Y374" s="1037"/>
      <c r="Z374" s="1037"/>
      <c r="AA374" s="1037"/>
      <c r="AB374" s="1037"/>
      <c r="AC374" s="1037"/>
      <c r="AD374" s="1037"/>
      <c r="AE374" s="1037"/>
      <c r="AF374" s="1037"/>
      <c r="AG374" s="1037"/>
      <c r="AH374" s="1037"/>
      <c r="AI374" s="1037"/>
      <c r="AJ374" s="1037"/>
      <c r="AK374" s="1037"/>
      <c r="AL374" s="1037"/>
      <c r="AM374" s="1037"/>
      <c r="AN374" s="1037"/>
      <c r="AO374" s="1037"/>
      <c r="AP374" s="1037"/>
    </row>
    <row r="375" spans="1:42" s="226" customFormat="1">
      <c r="A375" s="2060"/>
      <c r="B375" s="1037"/>
      <c r="C375" s="1037"/>
      <c r="D375" s="1037"/>
      <c r="E375" s="1037"/>
      <c r="F375" s="1037"/>
      <c r="G375" s="1037"/>
      <c r="H375" s="1018"/>
      <c r="I375" s="1037"/>
      <c r="J375" s="1037"/>
      <c r="K375" s="1037"/>
      <c r="L375" s="1037"/>
      <c r="M375" s="1037"/>
      <c r="N375" s="1037"/>
      <c r="O375" s="1037"/>
      <c r="P375" s="1037"/>
      <c r="Q375" s="1037"/>
      <c r="R375" s="1037"/>
      <c r="S375" s="1037"/>
      <c r="T375" s="1037"/>
      <c r="U375" s="1037"/>
      <c r="V375" s="1037"/>
      <c r="W375" s="1037"/>
      <c r="X375" s="1037"/>
      <c r="Y375" s="1037"/>
      <c r="Z375" s="1037"/>
      <c r="AA375" s="1037"/>
      <c r="AB375" s="1037"/>
      <c r="AC375" s="1037"/>
      <c r="AD375" s="1037"/>
      <c r="AE375" s="1037"/>
      <c r="AF375" s="1037"/>
      <c r="AG375" s="1037"/>
      <c r="AH375" s="1037"/>
      <c r="AI375" s="1037"/>
      <c r="AJ375" s="1037"/>
      <c r="AK375" s="1037"/>
      <c r="AL375" s="1037"/>
      <c r="AM375" s="1037"/>
      <c r="AN375" s="1037"/>
      <c r="AO375" s="1037"/>
      <c r="AP375" s="1037"/>
    </row>
    <row r="376" spans="1:42" s="226" customFormat="1">
      <c r="A376" s="2060"/>
      <c r="B376" s="1037"/>
      <c r="C376" s="1037"/>
      <c r="D376" s="1037"/>
      <c r="E376" s="1037"/>
      <c r="F376" s="1037"/>
      <c r="G376" s="1037"/>
      <c r="H376" s="1018"/>
      <c r="I376" s="1037"/>
      <c r="J376" s="1037"/>
      <c r="K376" s="1037"/>
      <c r="L376" s="1037"/>
      <c r="M376" s="1037"/>
      <c r="N376" s="1037"/>
      <c r="O376" s="1037"/>
      <c r="P376" s="1037"/>
      <c r="Q376" s="1037"/>
      <c r="R376" s="1037"/>
      <c r="S376" s="1037"/>
      <c r="T376" s="1037"/>
      <c r="U376" s="1037"/>
      <c r="V376" s="1037"/>
      <c r="W376" s="1037"/>
      <c r="X376" s="1037"/>
      <c r="Y376" s="1037"/>
      <c r="Z376" s="1037"/>
      <c r="AA376" s="1037"/>
      <c r="AB376" s="1037"/>
      <c r="AC376" s="1037"/>
      <c r="AD376" s="1037"/>
      <c r="AE376" s="1037"/>
      <c r="AF376" s="1037"/>
      <c r="AG376" s="1037"/>
      <c r="AH376" s="1037"/>
      <c r="AI376" s="1037"/>
      <c r="AJ376" s="1037"/>
      <c r="AK376" s="1037"/>
      <c r="AL376" s="1037"/>
      <c r="AM376" s="1037"/>
      <c r="AN376" s="1037"/>
      <c r="AO376" s="1037"/>
      <c r="AP376" s="1037"/>
    </row>
    <row r="377" spans="1:42" s="226" customFormat="1">
      <c r="A377" s="2060"/>
      <c r="B377" s="1037"/>
      <c r="C377" s="1037"/>
      <c r="D377" s="1037"/>
      <c r="E377" s="1037"/>
      <c r="F377" s="1037"/>
      <c r="G377" s="1037"/>
      <c r="H377" s="1018"/>
      <c r="I377" s="1037"/>
      <c r="J377" s="1037"/>
      <c r="K377" s="1037"/>
      <c r="L377" s="1037"/>
      <c r="M377" s="1037"/>
      <c r="N377" s="1037"/>
      <c r="O377" s="1037"/>
      <c r="P377" s="1037"/>
      <c r="Q377" s="1037"/>
      <c r="R377" s="1037"/>
      <c r="S377" s="1037"/>
      <c r="T377" s="1037"/>
      <c r="U377" s="1037"/>
      <c r="V377" s="1037"/>
      <c r="W377" s="1037"/>
      <c r="X377" s="1037"/>
      <c r="Y377" s="1037"/>
      <c r="Z377" s="1037"/>
      <c r="AA377" s="1037"/>
      <c r="AB377" s="1037"/>
      <c r="AC377" s="1037"/>
      <c r="AD377" s="1037"/>
      <c r="AE377" s="1037"/>
      <c r="AF377" s="1037"/>
      <c r="AG377" s="1037"/>
      <c r="AH377" s="1037"/>
      <c r="AI377" s="1037"/>
      <c r="AJ377" s="1037"/>
      <c r="AK377" s="1037"/>
      <c r="AL377" s="1037"/>
      <c r="AM377" s="1037"/>
      <c r="AN377" s="1037"/>
      <c r="AO377" s="1037"/>
      <c r="AP377" s="1037"/>
    </row>
    <row r="378" spans="1:42" s="226" customFormat="1">
      <c r="A378" s="2060"/>
      <c r="B378" s="1037"/>
      <c r="C378" s="1037"/>
      <c r="D378" s="1037"/>
      <c r="E378" s="1037"/>
      <c r="F378" s="1037"/>
      <c r="G378" s="1037"/>
      <c r="H378" s="1018"/>
      <c r="I378" s="1037"/>
      <c r="J378" s="1037"/>
      <c r="K378" s="1037"/>
      <c r="L378" s="1037"/>
      <c r="M378" s="1037"/>
      <c r="N378" s="1037"/>
      <c r="O378" s="1037"/>
      <c r="P378" s="1037"/>
      <c r="Q378" s="1037"/>
      <c r="R378" s="1037"/>
      <c r="S378" s="1037"/>
      <c r="T378" s="1037"/>
      <c r="U378" s="1037"/>
      <c r="V378" s="1037"/>
      <c r="W378" s="1037"/>
      <c r="X378" s="1037"/>
      <c r="Y378" s="1037"/>
      <c r="Z378" s="1037"/>
      <c r="AA378" s="1037"/>
      <c r="AB378" s="1037"/>
      <c r="AC378" s="1037"/>
      <c r="AD378" s="1037"/>
      <c r="AE378" s="1037"/>
      <c r="AF378" s="1037"/>
      <c r="AG378" s="1037"/>
      <c r="AH378" s="1037"/>
      <c r="AI378" s="1037"/>
      <c r="AJ378" s="1037"/>
      <c r="AK378" s="1037"/>
      <c r="AL378" s="1037"/>
      <c r="AM378" s="1037"/>
      <c r="AN378" s="1037"/>
      <c r="AO378" s="1037"/>
      <c r="AP378" s="1037"/>
    </row>
    <row r="379" spans="1:42" s="226" customFormat="1">
      <c r="A379" s="2060"/>
      <c r="B379" s="1037"/>
      <c r="C379" s="1037"/>
      <c r="D379" s="1037"/>
      <c r="E379" s="1037"/>
      <c r="F379" s="1037"/>
      <c r="G379" s="1037"/>
      <c r="H379" s="1018"/>
      <c r="I379" s="1037"/>
      <c r="J379" s="1037"/>
      <c r="K379" s="1037"/>
      <c r="L379" s="1037"/>
      <c r="M379" s="1037"/>
      <c r="N379" s="1037"/>
      <c r="O379" s="1037"/>
      <c r="P379" s="1037"/>
      <c r="Q379" s="1037"/>
      <c r="R379" s="1037"/>
      <c r="S379" s="1037"/>
      <c r="T379" s="1037"/>
      <c r="U379" s="1037"/>
      <c r="V379" s="1037"/>
      <c r="W379" s="1037"/>
      <c r="X379" s="1037"/>
      <c r="Y379" s="1037"/>
      <c r="Z379" s="1037"/>
      <c r="AA379" s="1037"/>
      <c r="AB379" s="1037"/>
      <c r="AC379" s="1037"/>
      <c r="AD379" s="1037"/>
      <c r="AE379" s="1037"/>
      <c r="AF379" s="1037"/>
      <c r="AG379" s="1037"/>
      <c r="AH379" s="1037"/>
      <c r="AI379" s="1037"/>
      <c r="AJ379" s="1037"/>
      <c r="AK379" s="1037"/>
      <c r="AL379" s="1037"/>
      <c r="AM379" s="1037"/>
      <c r="AN379" s="1037"/>
      <c r="AO379" s="1037"/>
      <c r="AP379" s="1037"/>
    </row>
    <row r="380" spans="1:42" s="226" customFormat="1">
      <c r="A380" s="2060"/>
      <c r="B380" s="1037"/>
      <c r="C380" s="1037"/>
      <c r="D380" s="1037"/>
      <c r="E380" s="1037"/>
      <c r="F380" s="1037"/>
      <c r="G380" s="1037"/>
      <c r="H380" s="1018"/>
      <c r="I380" s="1037"/>
      <c r="J380" s="1037"/>
      <c r="K380" s="1037"/>
      <c r="L380" s="1037"/>
      <c r="M380" s="1037"/>
      <c r="N380" s="1037"/>
      <c r="O380" s="1037"/>
      <c r="P380" s="1037"/>
      <c r="Q380" s="1037"/>
      <c r="R380" s="1037"/>
      <c r="S380" s="1037"/>
      <c r="T380" s="1037"/>
      <c r="U380" s="1037"/>
      <c r="V380" s="1037"/>
      <c r="W380" s="1037"/>
      <c r="X380" s="1037"/>
      <c r="Y380" s="1037"/>
      <c r="Z380" s="1037"/>
      <c r="AA380" s="1037"/>
      <c r="AB380" s="1037"/>
      <c r="AC380" s="1037"/>
      <c r="AD380" s="1037"/>
      <c r="AE380" s="1037"/>
      <c r="AF380" s="1037"/>
      <c r="AG380" s="1037"/>
      <c r="AH380" s="1037"/>
      <c r="AI380" s="1037"/>
      <c r="AJ380" s="1037"/>
      <c r="AK380" s="1037"/>
      <c r="AL380" s="1037"/>
      <c r="AM380" s="1037"/>
      <c r="AN380" s="1037"/>
      <c r="AO380" s="1037"/>
      <c r="AP380" s="1037"/>
    </row>
    <row r="381" spans="1:42" s="226" customFormat="1">
      <c r="A381" s="2060"/>
      <c r="B381" s="1037"/>
      <c r="C381" s="1037"/>
      <c r="D381" s="1037"/>
      <c r="E381" s="1037"/>
      <c r="F381" s="1037"/>
      <c r="G381" s="1037"/>
      <c r="H381" s="1018"/>
      <c r="I381" s="1037"/>
      <c r="J381" s="1037"/>
      <c r="K381" s="1037"/>
      <c r="L381" s="1037"/>
      <c r="M381" s="1037"/>
      <c r="N381" s="1037"/>
      <c r="O381" s="1037"/>
      <c r="P381" s="1037"/>
      <c r="Q381" s="1037"/>
      <c r="R381" s="1037"/>
      <c r="S381" s="1037"/>
      <c r="T381" s="1037"/>
      <c r="U381" s="1037"/>
      <c r="V381" s="1037"/>
      <c r="W381" s="1037"/>
      <c r="X381" s="1037"/>
      <c r="Y381" s="1037"/>
      <c r="Z381" s="1037"/>
      <c r="AA381" s="1037"/>
      <c r="AB381" s="1037"/>
      <c r="AC381" s="1037"/>
      <c r="AD381" s="1037"/>
      <c r="AE381" s="1037"/>
      <c r="AF381" s="1037"/>
      <c r="AG381" s="1037"/>
      <c r="AH381" s="1037"/>
      <c r="AI381" s="1037"/>
      <c r="AJ381" s="1037"/>
      <c r="AK381" s="1037"/>
      <c r="AL381" s="1037"/>
      <c r="AM381" s="1037"/>
      <c r="AN381" s="1037"/>
      <c r="AO381" s="1037"/>
      <c r="AP381" s="1037"/>
    </row>
    <row r="382" spans="1:42" s="226" customFormat="1">
      <c r="A382" s="2060"/>
      <c r="B382" s="1037"/>
      <c r="C382" s="1037"/>
      <c r="D382" s="1037"/>
      <c r="E382" s="1037"/>
      <c r="F382" s="1037"/>
      <c r="G382" s="1037"/>
      <c r="H382" s="1018"/>
      <c r="I382" s="1037"/>
      <c r="J382" s="1037"/>
      <c r="K382" s="1037"/>
      <c r="L382" s="1037"/>
      <c r="M382" s="1037"/>
      <c r="N382" s="1037"/>
      <c r="O382" s="1037"/>
      <c r="P382" s="1037"/>
      <c r="Q382" s="1037"/>
      <c r="R382" s="1037"/>
      <c r="S382" s="1037"/>
      <c r="T382" s="1037"/>
      <c r="U382" s="1037"/>
      <c r="V382" s="1037"/>
      <c r="W382" s="1037"/>
      <c r="X382" s="1037"/>
      <c r="Y382" s="1037"/>
      <c r="Z382" s="1037"/>
      <c r="AA382" s="1037"/>
      <c r="AB382" s="1037"/>
      <c r="AC382" s="1037"/>
      <c r="AD382" s="1037"/>
      <c r="AE382" s="1037"/>
      <c r="AF382" s="1037"/>
      <c r="AG382" s="1037"/>
      <c r="AH382" s="1037"/>
      <c r="AI382" s="1037"/>
      <c r="AJ382" s="1037"/>
      <c r="AK382" s="1037"/>
      <c r="AL382" s="1037"/>
      <c r="AM382" s="1037"/>
      <c r="AN382" s="1037"/>
      <c r="AO382" s="1037"/>
      <c r="AP382" s="1037"/>
    </row>
    <row r="383" spans="1:42" s="226" customFormat="1">
      <c r="A383" s="2060"/>
      <c r="B383" s="1037"/>
      <c r="C383" s="1037"/>
      <c r="D383" s="1037"/>
      <c r="E383" s="1037"/>
      <c r="F383" s="1037"/>
      <c r="G383" s="1037"/>
      <c r="H383" s="1018"/>
      <c r="I383" s="1037"/>
      <c r="J383" s="1037"/>
      <c r="K383" s="1037"/>
      <c r="L383" s="1037"/>
      <c r="M383" s="1037"/>
      <c r="N383" s="1037"/>
      <c r="O383" s="1037"/>
      <c r="P383" s="1037"/>
      <c r="Q383" s="1037"/>
      <c r="R383" s="1037"/>
      <c r="S383" s="1037"/>
      <c r="T383" s="1037"/>
      <c r="U383" s="1037"/>
      <c r="V383" s="1037"/>
      <c r="W383" s="1037"/>
      <c r="X383" s="1037"/>
      <c r="Y383" s="1037"/>
      <c r="Z383" s="1037"/>
      <c r="AA383" s="1037"/>
      <c r="AB383" s="1037"/>
      <c r="AC383" s="1037"/>
      <c r="AD383" s="1037"/>
      <c r="AE383" s="1037"/>
      <c r="AF383" s="1037"/>
      <c r="AG383" s="1037"/>
      <c r="AH383" s="1037"/>
      <c r="AI383" s="1037"/>
      <c r="AJ383" s="1037"/>
      <c r="AK383" s="1037"/>
      <c r="AL383" s="1037"/>
      <c r="AM383" s="1037"/>
      <c r="AN383" s="1037"/>
      <c r="AO383" s="1037"/>
      <c r="AP383" s="1037"/>
    </row>
    <row r="384" spans="1:42" s="226" customFormat="1">
      <c r="A384" s="2060"/>
      <c r="B384" s="1037"/>
      <c r="C384" s="1037"/>
      <c r="D384" s="1037"/>
      <c r="E384" s="1037"/>
      <c r="F384" s="1037"/>
      <c r="G384" s="1037"/>
      <c r="H384" s="1018"/>
      <c r="I384" s="1037"/>
      <c r="J384" s="1037"/>
      <c r="K384" s="1037"/>
      <c r="L384" s="1037"/>
      <c r="M384" s="1037"/>
      <c r="N384" s="1037"/>
      <c r="O384" s="1037"/>
      <c r="P384" s="1037"/>
      <c r="Q384" s="1037"/>
      <c r="R384" s="1037"/>
      <c r="S384" s="1037"/>
      <c r="T384" s="1037"/>
      <c r="U384" s="1037"/>
      <c r="V384" s="1037"/>
      <c r="W384" s="1037"/>
      <c r="X384" s="1037"/>
      <c r="Y384" s="1037"/>
      <c r="Z384" s="1037"/>
      <c r="AA384" s="1037"/>
      <c r="AB384" s="1037"/>
      <c r="AC384" s="1037"/>
      <c r="AD384" s="1037"/>
      <c r="AE384" s="1037"/>
      <c r="AF384" s="1037"/>
      <c r="AG384" s="1037"/>
      <c r="AH384" s="1037"/>
      <c r="AI384" s="1037"/>
      <c r="AJ384" s="1037"/>
      <c r="AK384" s="1037"/>
      <c r="AL384" s="1037"/>
      <c r="AM384" s="1037"/>
      <c r="AN384" s="1037"/>
      <c r="AO384" s="1037"/>
      <c r="AP384" s="1037"/>
    </row>
    <row r="385" spans="1:42" s="226" customFormat="1">
      <c r="A385" s="2060"/>
      <c r="B385" s="1037"/>
      <c r="C385" s="1037"/>
      <c r="D385" s="1037"/>
      <c r="E385" s="1037"/>
      <c r="F385" s="1037"/>
      <c r="G385" s="1037"/>
      <c r="H385" s="1018"/>
      <c r="I385" s="1037"/>
      <c r="J385" s="1037"/>
      <c r="K385" s="1037"/>
      <c r="L385" s="1037"/>
      <c r="M385" s="1037"/>
      <c r="N385" s="1037"/>
      <c r="O385" s="1037"/>
      <c r="P385" s="1037"/>
      <c r="Q385" s="1037"/>
      <c r="R385" s="1037"/>
      <c r="S385" s="1037"/>
      <c r="T385" s="1037"/>
      <c r="U385" s="1037"/>
      <c r="V385" s="1037"/>
      <c r="W385" s="1037"/>
      <c r="X385" s="1037"/>
      <c r="Y385" s="1037"/>
      <c r="Z385" s="1037"/>
      <c r="AA385" s="1037"/>
      <c r="AB385" s="1037"/>
      <c r="AC385" s="1037"/>
      <c r="AD385" s="1037"/>
      <c r="AE385" s="1037"/>
      <c r="AF385" s="1037"/>
      <c r="AG385" s="1037"/>
      <c r="AH385" s="1037"/>
      <c r="AI385" s="1037"/>
      <c r="AJ385" s="1037"/>
      <c r="AK385" s="1037"/>
      <c r="AL385" s="1037"/>
      <c r="AM385" s="1037"/>
      <c r="AN385" s="1037"/>
      <c r="AO385" s="1037"/>
      <c r="AP385" s="1037"/>
    </row>
    <row r="386" spans="1:42" s="226" customFormat="1">
      <c r="A386" s="2060"/>
      <c r="B386" s="1037"/>
      <c r="C386" s="1037"/>
      <c r="D386" s="1037"/>
      <c r="E386" s="1037"/>
      <c r="F386" s="1037"/>
      <c r="G386" s="1037"/>
      <c r="H386" s="1018"/>
      <c r="I386" s="1037"/>
      <c r="J386" s="1037"/>
      <c r="K386" s="1037"/>
      <c r="L386" s="1037"/>
      <c r="M386" s="1037"/>
      <c r="N386" s="1037"/>
      <c r="O386" s="1037"/>
      <c r="P386" s="1037"/>
      <c r="Q386" s="1037"/>
      <c r="R386" s="1037"/>
      <c r="S386" s="1037"/>
      <c r="T386" s="1037"/>
      <c r="U386" s="1037"/>
      <c r="V386" s="1037"/>
      <c r="W386" s="1037"/>
      <c r="X386" s="1037"/>
      <c r="Y386" s="1037"/>
      <c r="Z386" s="1037"/>
      <c r="AA386" s="1037"/>
      <c r="AB386" s="1037"/>
      <c r="AC386" s="1037"/>
      <c r="AD386" s="1037"/>
      <c r="AE386" s="1037"/>
      <c r="AF386" s="1037"/>
      <c r="AG386" s="1037"/>
      <c r="AH386" s="1037"/>
      <c r="AI386" s="1037"/>
      <c r="AJ386" s="1037"/>
      <c r="AK386" s="1037"/>
      <c r="AL386" s="1037"/>
      <c r="AM386" s="1037"/>
      <c r="AN386" s="1037"/>
      <c r="AO386" s="1037"/>
      <c r="AP386" s="1037"/>
    </row>
    <row r="387" spans="1:42" s="226" customFormat="1">
      <c r="A387" s="2060"/>
      <c r="B387" s="1037"/>
      <c r="C387" s="1037"/>
      <c r="D387" s="1037"/>
      <c r="E387" s="1037"/>
      <c r="F387" s="1037"/>
      <c r="G387" s="1037"/>
      <c r="H387" s="1018"/>
      <c r="I387" s="1037"/>
      <c r="J387" s="1037"/>
      <c r="K387" s="1037"/>
      <c r="L387" s="1037"/>
      <c r="M387" s="1037"/>
      <c r="N387" s="1037"/>
      <c r="O387" s="1037"/>
      <c r="P387" s="1037"/>
      <c r="Q387" s="1037"/>
      <c r="R387" s="1037"/>
      <c r="S387" s="1037"/>
      <c r="T387" s="1037"/>
      <c r="U387" s="1037"/>
      <c r="V387" s="1037"/>
      <c r="W387" s="1037"/>
      <c r="X387" s="1037"/>
      <c r="Y387" s="1037"/>
      <c r="Z387" s="1037"/>
      <c r="AA387" s="1037"/>
      <c r="AB387" s="1037"/>
      <c r="AC387" s="1037"/>
      <c r="AD387" s="1037"/>
      <c r="AE387" s="1037"/>
      <c r="AF387" s="1037"/>
      <c r="AG387" s="1037"/>
      <c r="AH387" s="1037"/>
      <c r="AI387" s="1037"/>
      <c r="AJ387" s="1037"/>
      <c r="AK387" s="1037"/>
      <c r="AL387" s="1037"/>
      <c r="AM387" s="1037"/>
      <c r="AN387" s="1037"/>
      <c r="AO387" s="1037"/>
      <c r="AP387" s="1037"/>
    </row>
    <row r="388" spans="1:42" s="226" customFormat="1">
      <c r="A388" s="2060"/>
      <c r="B388" s="1037"/>
      <c r="C388" s="1037"/>
      <c r="D388" s="1037"/>
      <c r="E388" s="1037"/>
      <c r="F388" s="1037"/>
      <c r="G388" s="1037"/>
      <c r="H388" s="1018"/>
      <c r="I388" s="1037"/>
      <c r="J388" s="1037"/>
      <c r="K388" s="1037"/>
      <c r="L388" s="1037"/>
      <c r="M388" s="1037"/>
      <c r="N388" s="1037"/>
      <c r="O388" s="1037"/>
      <c r="P388" s="1037"/>
      <c r="Q388" s="1037"/>
      <c r="R388" s="1037"/>
      <c r="S388" s="1037"/>
      <c r="T388" s="1037"/>
      <c r="U388" s="1037"/>
      <c r="V388" s="1037"/>
      <c r="W388" s="1037"/>
      <c r="X388" s="1037"/>
      <c r="Y388" s="1037"/>
      <c r="Z388" s="1037"/>
      <c r="AA388" s="1037"/>
      <c r="AB388" s="1037"/>
      <c r="AC388" s="1037"/>
      <c r="AD388" s="1037"/>
      <c r="AE388" s="1037"/>
      <c r="AF388" s="1037"/>
      <c r="AG388" s="1037"/>
      <c r="AH388" s="1037"/>
      <c r="AI388" s="1037"/>
      <c r="AJ388" s="1037"/>
      <c r="AK388" s="1037"/>
      <c r="AL388" s="1037"/>
      <c r="AM388" s="1037"/>
      <c r="AN388" s="1037"/>
      <c r="AO388" s="1037"/>
      <c r="AP388" s="1037"/>
    </row>
    <row r="389" spans="1:42" s="226" customFormat="1">
      <c r="A389" s="2060"/>
      <c r="B389" s="1037"/>
      <c r="C389" s="1037"/>
      <c r="D389" s="1037"/>
      <c r="E389" s="1037"/>
      <c r="F389" s="1037"/>
      <c r="G389" s="1037"/>
      <c r="H389" s="1018"/>
      <c r="I389" s="1037"/>
      <c r="J389" s="1037"/>
      <c r="K389" s="1037"/>
      <c r="L389" s="1037"/>
      <c r="M389" s="1037"/>
      <c r="N389" s="1037"/>
      <c r="O389" s="1037"/>
      <c r="P389" s="1037"/>
      <c r="Q389" s="1037"/>
      <c r="R389" s="1037"/>
      <c r="S389" s="1037"/>
      <c r="T389" s="1037"/>
      <c r="U389" s="1037"/>
      <c r="V389" s="1037"/>
      <c r="W389" s="1037"/>
      <c r="X389" s="1037"/>
      <c r="Y389" s="1037"/>
      <c r="Z389" s="1037"/>
      <c r="AA389" s="1037"/>
      <c r="AB389" s="1037"/>
      <c r="AC389" s="1037"/>
      <c r="AD389" s="1037"/>
      <c r="AE389" s="1037"/>
      <c r="AF389" s="1037"/>
      <c r="AG389" s="1037"/>
      <c r="AH389" s="1037"/>
      <c r="AI389" s="1037"/>
      <c r="AJ389" s="1037"/>
      <c r="AK389" s="1037"/>
      <c r="AL389" s="1037"/>
      <c r="AM389" s="1037"/>
      <c r="AN389" s="1037"/>
      <c r="AO389" s="1037"/>
      <c r="AP389" s="1037"/>
    </row>
    <row r="390" spans="1:42" s="226" customFormat="1">
      <c r="A390" s="2060"/>
      <c r="B390" s="1037"/>
      <c r="C390" s="1037"/>
      <c r="D390" s="1037"/>
      <c r="E390" s="1037"/>
      <c r="F390" s="1037"/>
      <c r="G390" s="1037"/>
      <c r="H390" s="1018"/>
      <c r="I390" s="1037"/>
      <c r="J390" s="1037"/>
      <c r="K390" s="1037"/>
      <c r="L390" s="1037"/>
      <c r="M390" s="1037"/>
      <c r="N390" s="1037"/>
      <c r="O390" s="1037"/>
      <c r="P390" s="1037"/>
      <c r="Q390" s="1037"/>
      <c r="R390" s="1037"/>
      <c r="S390" s="1037"/>
      <c r="T390" s="1037"/>
      <c r="U390" s="1037"/>
      <c r="V390" s="1037"/>
      <c r="W390" s="1037"/>
      <c r="X390" s="1037"/>
      <c r="Y390" s="1037"/>
      <c r="Z390" s="1037"/>
      <c r="AA390" s="1037"/>
      <c r="AB390" s="1037"/>
      <c r="AC390" s="1037"/>
      <c r="AD390" s="1037"/>
      <c r="AE390" s="1037"/>
      <c r="AF390" s="1037"/>
      <c r="AG390" s="1037"/>
      <c r="AH390" s="1037"/>
      <c r="AI390" s="1037"/>
      <c r="AJ390" s="1037"/>
      <c r="AK390" s="1037"/>
      <c r="AL390" s="1037"/>
      <c r="AM390" s="1037"/>
      <c r="AN390" s="1037"/>
      <c r="AO390" s="1037"/>
      <c r="AP390" s="1037"/>
    </row>
    <row r="391" spans="1:42" s="226" customFormat="1">
      <c r="A391" s="2060"/>
      <c r="B391" s="1037"/>
      <c r="C391" s="1037"/>
      <c r="D391" s="1037"/>
      <c r="E391" s="1037"/>
      <c r="F391" s="1037"/>
      <c r="G391" s="1037"/>
      <c r="H391" s="1018"/>
      <c r="I391" s="1037"/>
      <c r="J391" s="1037"/>
      <c r="K391" s="1037"/>
      <c r="L391" s="1037"/>
      <c r="M391" s="1037"/>
      <c r="N391" s="1037"/>
      <c r="O391" s="1037"/>
      <c r="P391" s="1037"/>
      <c r="Q391" s="1037"/>
      <c r="R391" s="1037"/>
      <c r="S391" s="1037"/>
      <c r="T391" s="1037"/>
      <c r="U391" s="1037"/>
      <c r="V391" s="1037"/>
      <c r="W391" s="1037"/>
      <c r="X391" s="1037"/>
      <c r="Y391" s="1037"/>
      <c r="Z391" s="1037"/>
      <c r="AA391" s="1037"/>
      <c r="AB391" s="1037"/>
      <c r="AC391" s="1037"/>
      <c r="AD391" s="1037"/>
      <c r="AE391" s="1037"/>
      <c r="AF391" s="1037"/>
      <c r="AG391" s="1037"/>
      <c r="AH391" s="1037"/>
      <c r="AI391" s="1037"/>
      <c r="AJ391" s="1037"/>
      <c r="AK391" s="1037"/>
      <c r="AL391" s="1037"/>
      <c r="AM391" s="1037"/>
      <c r="AN391" s="1037"/>
      <c r="AO391" s="1037"/>
      <c r="AP391" s="1037"/>
    </row>
    <row r="392" spans="1:42" s="226" customFormat="1">
      <c r="A392" s="2060"/>
      <c r="B392" s="1037"/>
      <c r="C392" s="1037"/>
      <c r="D392" s="1037"/>
      <c r="E392" s="1037"/>
      <c r="F392" s="1037"/>
      <c r="G392" s="1037"/>
      <c r="H392" s="1018"/>
      <c r="I392" s="1037"/>
      <c r="J392" s="1037"/>
      <c r="K392" s="1037"/>
      <c r="L392" s="1037"/>
      <c r="M392" s="1037"/>
      <c r="N392" s="1037"/>
      <c r="O392" s="1037"/>
      <c r="P392" s="1037"/>
      <c r="Q392" s="1037"/>
      <c r="R392" s="1037"/>
      <c r="S392" s="1037"/>
      <c r="T392" s="1037"/>
      <c r="U392" s="1037"/>
      <c r="V392" s="1037"/>
      <c r="W392" s="1037"/>
      <c r="X392" s="1037"/>
      <c r="Y392" s="1037"/>
      <c r="Z392" s="1037"/>
      <c r="AA392" s="1037"/>
      <c r="AB392" s="1037"/>
      <c r="AC392" s="1037"/>
      <c r="AD392" s="1037"/>
      <c r="AE392" s="1037"/>
      <c r="AF392" s="1037"/>
      <c r="AG392" s="1037"/>
      <c r="AH392" s="1037"/>
      <c r="AI392" s="1037"/>
      <c r="AJ392" s="1037"/>
      <c r="AK392" s="1037"/>
      <c r="AL392" s="1037"/>
      <c r="AM392" s="1037"/>
      <c r="AN392" s="1037"/>
      <c r="AO392" s="1037"/>
      <c r="AP392" s="1037"/>
    </row>
    <row r="393" spans="1:42" s="226" customFormat="1">
      <c r="A393" s="2060"/>
      <c r="B393" s="1037"/>
      <c r="C393" s="1037"/>
      <c r="D393" s="1037"/>
      <c r="E393" s="1037"/>
      <c r="F393" s="1037"/>
      <c r="G393" s="1037"/>
      <c r="H393" s="1018"/>
      <c r="I393" s="1037"/>
      <c r="J393" s="1037"/>
      <c r="K393" s="1037"/>
      <c r="L393" s="1037"/>
      <c r="M393" s="1037"/>
      <c r="N393" s="1037"/>
      <c r="O393" s="1037"/>
      <c r="P393" s="1037"/>
      <c r="Q393" s="1037"/>
      <c r="R393" s="1037"/>
      <c r="S393" s="1037"/>
      <c r="T393" s="1037"/>
      <c r="U393" s="1037"/>
      <c r="V393" s="1037"/>
      <c r="W393" s="1037"/>
      <c r="X393" s="1037"/>
      <c r="Y393" s="1037"/>
      <c r="Z393" s="1037"/>
      <c r="AA393" s="1037"/>
      <c r="AB393" s="1037"/>
      <c r="AC393" s="1037"/>
      <c r="AD393" s="1037"/>
      <c r="AE393" s="1037"/>
      <c r="AF393" s="1037"/>
      <c r="AG393" s="1037"/>
      <c r="AH393" s="1037"/>
      <c r="AI393" s="1037"/>
      <c r="AJ393" s="1037"/>
      <c r="AK393" s="1037"/>
      <c r="AL393" s="1037"/>
      <c r="AM393" s="1037"/>
      <c r="AN393" s="1037"/>
      <c r="AO393" s="1037"/>
      <c r="AP393" s="1037"/>
    </row>
    <row r="394" spans="1:42" s="226" customFormat="1">
      <c r="A394" s="2060"/>
      <c r="B394" s="1037"/>
      <c r="C394" s="1037"/>
      <c r="D394" s="1037"/>
      <c r="E394" s="1037"/>
      <c r="F394" s="1037"/>
      <c r="G394" s="1037"/>
      <c r="H394" s="1018"/>
      <c r="I394" s="1037"/>
      <c r="J394" s="1037"/>
      <c r="K394" s="1037"/>
      <c r="L394" s="1037"/>
      <c r="M394" s="1037"/>
      <c r="N394" s="1037"/>
      <c r="O394" s="1037"/>
      <c r="P394" s="1037"/>
      <c r="Q394" s="1037"/>
      <c r="R394" s="1037"/>
      <c r="S394" s="1037"/>
      <c r="T394" s="1037"/>
      <c r="U394" s="1037"/>
      <c r="V394" s="1037"/>
      <c r="W394" s="1037"/>
      <c r="X394" s="1037"/>
      <c r="Y394" s="1037"/>
      <c r="Z394" s="1037"/>
      <c r="AA394" s="1037"/>
      <c r="AB394" s="1037"/>
      <c r="AC394" s="1037"/>
      <c r="AD394" s="1037"/>
      <c r="AE394" s="1037"/>
      <c r="AF394" s="1037"/>
      <c r="AG394" s="1037"/>
      <c r="AH394" s="1037"/>
      <c r="AI394" s="1037"/>
      <c r="AJ394" s="1037"/>
      <c r="AK394" s="1037"/>
      <c r="AL394" s="1037"/>
      <c r="AM394" s="1037"/>
      <c r="AN394" s="1037"/>
      <c r="AO394" s="1037"/>
      <c r="AP394" s="1037"/>
    </row>
    <row r="395" spans="1:42" s="226" customFormat="1">
      <c r="A395" s="2060"/>
      <c r="B395" s="1037"/>
      <c r="C395" s="1037"/>
      <c r="D395" s="1037"/>
      <c r="E395" s="1037"/>
      <c r="F395" s="1037"/>
      <c r="G395" s="1037"/>
      <c r="H395" s="1018"/>
      <c r="I395" s="1037"/>
      <c r="J395" s="1037"/>
      <c r="K395" s="1037"/>
      <c r="L395" s="1037"/>
      <c r="M395" s="1037"/>
      <c r="N395" s="1037"/>
      <c r="O395" s="1037"/>
      <c r="P395" s="1037"/>
      <c r="Q395" s="1037"/>
      <c r="R395" s="1037"/>
      <c r="S395" s="1037"/>
      <c r="T395" s="1037"/>
      <c r="U395" s="1037"/>
      <c r="V395" s="1037"/>
      <c r="W395" s="1037"/>
      <c r="X395" s="1037"/>
      <c r="Y395" s="1037"/>
      <c r="Z395" s="1037"/>
      <c r="AA395" s="1037"/>
      <c r="AB395" s="1037"/>
      <c r="AC395" s="1037"/>
      <c r="AD395" s="1037"/>
      <c r="AE395" s="1037"/>
      <c r="AF395" s="1037"/>
      <c r="AG395" s="1037"/>
      <c r="AH395" s="1037"/>
      <c r="AI395" s="1037"/>
      <c r="AJ395" s="1037"/>
      <c r="AK395" s="1037"/>
      <c r="AL395" s="1037"/>
      <c r="AM395" s="1037"/>
      <c r="AN395" s="1037"/>
      <c r="AO395" s="1037"/>
      <c r="AP395" s="1037"/>
    </row>
    <row r="396" spans="1:42" s="226" customFormat="1">
      <c r="A396" s="2060"/>
      <c r="B396" s="1037"/>
      <c r="C396" s="1037"/>
      <c r="D396" s="1037"/>
      <c r="E396" s="1037"/>
      <c r="F396" s="1037"/>
      <c r="G396" s="1037"/>
      <c r="H396" s="1018"/>
      <c r="I396" s="1037"/>
      <c r="J396" s="1037"/>
      <c r="K396" s="1037"/>
      <c r="L396" s="1037"/>
      <c r="M396" s="1037"/>
      <c r="N396" s="1037"/>
      <c r="O396" s="1037"/>
      <c r="P396" s="1037"/>
      <c r="Q396" s="1037"/>
      <c r="R396" s="1037"/>
      <c r="S396" s="1037"/>
      <c r="T396" s="1037"/>
      <c r="U396" s="1037"/>
      <c r="V396" s="1037"/>
      <c r="W396" s="1037"/>
      <c r="X396" s="1037"/>
      <c r="Y396" s="1037"/>
      <c r="Z396" s="1037"/>
      <c r="AA396" s="1037"/>
      <c r="AB396" s="1037"/>
      <c r="AC396" s="1037"/>
      <c r="AD396" s="1037"/>
      <c r="AE396" s="1037"/>
      <c r="AF396" s="1037"/>
      <c r="AG396" s="1037"/>
      <c r="AH396" s="1037"/>
      <c r="AI396" s="1037"/>
      <c r="AJ396" s="1037"/>
      <c r="AK396" s="1037"/>
      <c r="AL396" s="1037"/>
      <c r="AM396" s="1037"/>
      <c r="AN396" s="1037"/>
      <c r="AO396" s="1037"/>
      <c r="AP396" s="1037"/>
    </row>
    <row r="397" spans="1:42" s="226" customFormat="1">
      <c r="A397" s="2060"/>
      <c r="B397" s="1037"/>
      <c r="C397" s="1037"/>
      <c r="D397" s="1037"/>
      <c r="E397" s="1037"/>
      <c r="F397" s="1037"/>
      <c r="G397" s="1037"/>
      <c r="H397" s="1018"/>
      <c r="I397" s="1037"/>
      <c r="J397" s="1037"/>
      <c r="K397" s="1037"/>
      <c r="L397" s="1037"/>
      <c r="M397" s="1037"/>
      <c r="N397" s="1037"/>
      <c r="O397" s="1037"/>
      <c r="P397" s="1037"/>
      <c r="Q397" s="1037"/>
      <c r="R397" s="1037"/>
      <c r="S397" s="1037"/>
      <c r="T397" s="1037"/>
      <c r="U397" s="1037"/>
      <c r="V397" s="1037"/>
      <c r="W397" s="1037"/>
      <c r="X397" s="1037"/>
      <c r="Y397" s="1037"/>
      <c r="Z397" s="1037"/>
      <c r="AA397" s="1037"/>
      <c r="AB397" s="1037"/>
      <c r="AC397" s="1037"/>
      <c r="AD397" s="1037"/>
      <c r="AE397" s="1037"/>
      <c r="AF397" s="1037"/>
      <c r="AG397" s="1037"/>
      <c r="AH397" s="1037"/>
      <c r="AI397" s="1037"/>
      <c r="AJ397" s="1037"/>
      <c r="AK397" s="1037"/>
      <c r="AL397" s="1037"/>
      <c r="AM397" s="1037"/>
      <c r="AN397" s="1037"/>
      <c r="AO397" s="1037"/>
      <c r="AP397" s="1037"/>
    </row>
    <row r="398" spans="1:42" s="226" customFormat="1">
      <c r="A398" s="2060"/>
      <c r="B398" s="1037"/>
      <c r="C398" s="1037"/>
      <c r="D398" s="1037"/>
      <c r="E398" s="1037"/>
      <c r="F398" s="1037"/>
      <c r="G398" s="1037"/>
      <c r="H398" s="1018"/>
      <c r="I398" s="1037"/>
      <c r="J398" s="1037"/>
      <c r="K398" s="1037"/>
      <c r="L398" s="1037"/>
      <c r="M398" s="1037"/>
      <c r="N398" s="1037"/>
      <c r="O398" s="1037"/>
      <c r="P398" s="1037"/>
      <c r="Q398" s="1037"/>
      <c r="R398" s="1037"/>
      <c r="S398" s="1037"/>
      <c r="T398" s="1037"/>
      <c r="U398" s="1037"/>
      <c r="V398" s="1037"/>
      <c r="W398" s="1037"/>
      <c r="X398" s="1037"/>
      <c r="Y398" s="1037"/>
      <c r="Z398" s="1037"/>
      <c r="AA398" s="1037"/>
      <c r="AB398" s="1037"/>
      <c r="AC398" s="1037"/>
      <c r="AD398" s="1037"/>
      <c r="AE398" s="1037"/>
      <c r="AF398" s="1037"/>
      <c r="AG398" s="1037"/>
      <c r="AH398" s="1037"/>
      <c r="AI398" s="1037"/>
      <c r="AJ398" s="1037"/>
      <c r="AK398" s="1037"/>
      <c r="AL398" s="1037"/>
      <c r="AM398" s="1037"/>
      <c r="AN398" s="1037"/>
      <c r="AO398" s="1037"/>
      <c r="AP398" s="1037"/>
    </row>
    <row r="399" spans="1:42" s="226" customFormat="1">
      <c r="A399" s="2060"/>
      <c r="B399" s="1037"/>
      <c r="C399" s="1037"/>
      <c r="D399" s="1037"/>
      <c r="E399" s="1037"/>
      <c r="F399" s="1037"/>
      <c r="G399" s="1037"/>
      <c r="H399" s="1018"/>
      <c r="I399" s="1037"/>
      <c r="J399" s="1037"/>
      <c r="K399" s="1037"/>
      <c r="L399" s="1037"/>
      <c r="M399" s="1037"/>
      <c r="N399" s="1037"/>
      <c r="O399" s="1037"/>
      <c r="P399" s="1037"/>
      <c r="Q399" s="1037"/>
      <c r="R399" s="1037"/>
      <c r="S399" s="1037"/>
      <c r="T399" s="1037"/>
      <c r="U399" s="1037"/>
      <c r="V399" s="1037"/>
      <c r="W399" s="1037"/>
      <c r="X399" s="1037"/>
      <c r="Y399" s="1037"/>
      <c r="Z399" s="1037"/>
      <c r="AA399" s="1037"/>
      <c r="AB399" s="1037"/>
      <c r="AC399" s="1037"/>
      <c r="AD399" s="1037"/>
      <c r="AE399" s="1037"/>
      <c r="AF399" s="1037"/>
      <c r="AG399" s="1037"/>
      <c r="AH399" s="1037"/>
      <c r="AI399" s="1037"/>
      <c r="AJ399" s="1037"/>
      <c r="AK399" s="1037"/>
      <c r="AL399" s="1037"/>
      <c r="AM399" s="1037"/>
      <c r="AN399" s="1037"/>
      <c r="AO399" s="1037"/>
      <c r="AP399" s="1037"/>
    </row>
    <row r="400" spans="1:42" s="226" customFormat="1">
      <c r="A400" s="2060"/>
      <c r="B400" s="1037"/>
      <c r="C400" s="1037"/>
      <c r="D400" s="1037"/>
      <c r="E400" s="1037"/>
      <c r="F400" s="1037"/>
      <c r="G400" s="1037"/>
      <c r="H400" s="1018"/>
      <c r="I400" s="1037"/>
      <c r="J400" s="1037"/>
      <c r="K400" s="1037"/>
      <c r="L400" s="1037"/>
      <c r="M400" s="1037"/>
      <c r="N400" s="1037"/>
      <c r="O400" s="1037"/>
      <c r="P400" s="1037"/>
      <c r="Q400" s="1037"/>
      <c r="R400" s="1037"/>
      <c r="S400" s="1037"/>
      <c r="T400" s="1037"/>
      <c r="U400" s="1037"/>
      <c r="V400" s="1037"/>
      <c r="W400" s="1037"/>
      <c r="X400" s="1037"/>
      <c r="Y400" s="1037"/>
      <c r="Z400" s="1037"/>
      <c r="AA400" s="1037"/>
      <c r="AB400" s="1037"/>
      <c r="AC400" s="1037"/>
      <c r="AD400" s="1037"/>
      <c r="AE400" s="1037"/>
      <c r="AF400" s="1037"/>
      <c r="AG400" s="1037"/>
      <c r="AH400" s="1037"/>
      <c r="AI400" s="1037"/>
      <c r="AJ400" s="1037"/>
      <c r="AK400" s="1037"/>
      <c r="AL400" s="1037"/>
      <c r="AM400" s="1037"/>
      <c r="AN400" s="1037"/>
      <c r="AO400" s="1037"/>
      <c r="AP400" s="1037"/>
    </row>
    <row r="401" spans="1:42" s="226" customFormat="1">
      <c r="A401" s="2060"/>
      <c r="B401" s="1037"/>
      <c r="C401" s="1037"/>
      <c r="D401" s="1037"/>
      <c r="E401" s="1037"/>
      <c r="F401" s="1037"/>
      <c r="G401" s="1037"/>
      <c r="H401" s="1018"/>
      <c r="I401" s="1037"/>
      <c r="J401" s="1037"/>
      <c r="K401" s="1037"/>
      <c r="L401" s="1037"/>
      <c r="M401" s="1037"/>
      <c r="N401" s="1037"/>
      <c r="O401" s="1037"/>
      <c r="P401" s="1037"/>
      <c r="Q401" s="1037"/>
      <c r="R401" s="1037"/>
      <c r="S401" s="1037"/>
      <c r="T401" s="1037"/>
      <c r="U401" s="1037"/>
      <c r="V401" s="1037"/>
      <c r="W401" s="1037"/>
      <c r="X401" s="1037"/>
      <c r="Y401" s="1037"/>
      <c r="Z401" s="1037"/>
      <c r="AA401" s="1037"/>
      <c r="AB401" s="1037"/>
      <c r="AC401" s="1037"/>
      <c r="AD401" s="1037"/>
      <c r="AE401" s="1037"/>
      <c r="AF401" s="1037"/>
      <c r="AG401" s="1037"/>
      <c r="AH401" s="1037"/>
      <c r="AI401" s="1037"/>
      <c r="AJ401" s="1037"/>
      <c r="AK401" s="1037"/>
      <c r="AL401" s="1037"/>
      <c r="AM401" s="1037"/>
      <c r="AN401" s="1037"/>
      <c r="AO401" s="1037"/>
      <c r="AP401" s="1037"/>
    </row>
    <row r="402" spans="1:42" s="226" customFormat="1">
      <c r="A402" s="2060"/>
      <c r="B402" s="1037"/>
      <c r="C402" s="1037"/>
      <c r="D402" s="1037"/>
      <c r="E402" s="1037"/>
      <c r="F402" s="1037"/>
      <c r="G402" s="1037"/>
      <c r="H402" s="1018"/>
      <c r="I402" s="1037"/>
      <c r="J402" s="1037"/>
      <c r="K402" s="1037"/>
      <c r="L402" s="1037"/>
      <c r="M402" s="1037"/>
      <c r="N402" s="1037"/>
      <c r="O402" s="1037"/>
      <c r="P402" s="1037"/>
      <c r="Q402" s="1037"/>
      <c r="R402" s="1037"/>
      <c r="S402" s="1037"/>
      <c r="T402" s="1037"/>
      <c r="U402" s="1037"/>
      <c r="V402" s="1037"/>
      <c r="W402" s="1037"/>
      <c r="X402" s="1037"/>
      <c r="Y402" s="1037"/>
      <c r="Z402" s="1037"/>
      <c r="AA402" s="1037"/>
      <c r="AB402" s="1037"/>
      <c r="AC402" s="1037"/>
      <c r="AD402" s="1037"/>
      <c r="AE402" s="1037"/>
      <c r="AF402" s="1037"/>
      <c r="AG402" s="1037"/>
      <c r="AH402" s="1037"/>
      <c r="AI402" s="1037"/>
      <c r="AJ402" s="1037"/>
      <c r="AK402" s="1037"/>
      <c r="AL402" s="1037"/>
      <c r="AM402" s="1037"/>
      <c r="AN402" s="1037"/>
      <c r="AO402" s="1037"/>
      <c r="AP402" s="1037"/>
    </row>
    <row r="403" spans="1:42" s="226" customFormat="1">
      <c r="A403" s="2060"/>
      <c r="B403" s="1037"/>
      <c r="C403" s="1037"/>
      <c r="D403" s="1037"/>
      <c r="E403" s="1037"/>
      <c r="F403" s="1037"/>
      <c r="G403" s="1037"/>
      <c r="H403" s="1018"/>
      <c r="I403" s="1037"/>
      <c r="J403" s="1037"/>
      <c r="K403" s="1037"/>
      <c r="L403" s="1037"/>
      <c r="M403" s="1037"/>
      <c r="N403" s="1037"/>
      <c r="O403" s="1037"/>
      <c r="P403" s="1037"/>
      <c r="Q403" s="1037"/>
      <c r="R403" s="1037"/>
      <c r="S403" s="1037"/>
      <c r="T403" s="1037"/>
      <c r="U403" s="1037"/>
      <c r="V403" s="1037"/>
      <c r="W403" s="1037"/>
      <c r="X403" s="1037"/>
      <c r="Y403" s="1037"/>
      <c r="Z403" s="1037"/>
      <c r="AA403" s="1037"/>
      <c r="AB403" s="1037"/>
      <c r="AC403" s="1037"/>
      <c r="AD403" s="1037"/>
      <c r="AE403" s="1037"/>
      <c r="AF403" s="1037"/>
      <c r="AG403" s="1037"/>
      <c r="AH403" s="1037"/>
      <c r="AI403" s="1037"/>
      <c r="AJ403" s="1037"/>
      <c r="AK403" s="1037"/>
      <c r="AL403" s="1037"/>
      <c r="AM403" s="1037"/>
      <c r="AN403" s="1037"/>
      <c r="AO403" s="1037"/>
      <c r="AP403" s="1037"/>
    </row>
    <row r="404" spans="1:42" s="226" customFormat="1">
      <c r="A404" s="2060"/>
      <c r="B404" s="1037"/>
      <c r="C404" s="1037"/>
      <c r="D404" s="1037"/>
      <c r="E404" s="1037"/>
      <c r="F404" s="1037"/>
      <c r="G404" s="1037"/>
      <c r="H404" s="1018"/>
      <c r="I404" s="1037"/>
      <c r="J404" s="1037"/>
      <c r="K404" s="1037"/>
      <c r="L404" s="1037"/>
      <c r="M404" s="1037"/>
      <c r="N404" s="1037"/>
      <c r="O404" s="1037"/>
      <c r="P404" s="1037"/>
      <c r="Q404" s="1037"/>
      <c r="R404" s="1037"/>
      <c r="S404" s="1037"/>
      <c r="T404" s="1037"/>
      <c r="U404" s="1037"/>
      <c r="V404" s="1037"/>
      <c r="W404" s="1037"/>
      <c r="X404" s="1037"/>
      <c r="Y404" s="1037"/>
      <c r="Z404" s="1037"/>
      <c r="AA404" s="1037"/>
      <c r="AB404" s="1037"/>
      <c r="AC404" s="1037"/>
      <c r="AD404" s="1037"/>
      <c r="AE404" s="1037"/>
      <c r="AF404" s="1037"/>
      <c r="AG404" s="1037"/>
      <c r="AH404" s="1037"/>
      <c r="AI404" s="1037"/>
      <c r="AJ404" s="1037"/>
      <c r="AK404" s="1037"/>
      <c r="AL404" s="1037"/>
      <c r="AM404" s="1037"/>
      <c r="AN404" s="1037"/>
      <c r="AO404" s="1037"/>
      <c r="AP404" s="1037"/>
    </row>
    <row r="405" spans="1:42" s="226" customFormat="1">
      <c r="A405" s="2060"/>
      <c r="B405" s="1037"/>
      <c r="C405" s="1037"/>
      <c r="D405" s="1037"/>
      <c r="E405" s="1037"/>
      <c r="F405" s="1037"/>
      <c r="G405" s="1037"/>
      <c r="H405" s="1018"/>
      <c r="I405" s="1037"/>
      <c r="J405" s="1037"/>
      <c r="K405" s="1037"/>
      <c r="L405" s="1037"/>
      <c r="M405" s="1037"/>
      <c r="N405" s="1037"/>
      <c r="O405" s="1037"/>
      <c r="P405" s="1037"/>
      <c r="Q405" s="1037"/>
      <c r="R405" s="1037"/>
      <c r="S405" s="1037"/>
      <c r="T405" s="1037"/>
      <c r="U405" s="1037"/>
      <c r="V405" s="1037"/>
      <c r="W405" s="1037"/>
      <c r="X405" s="1037"/>
      <c r="Y405" s="1037"/>
      <c r="Z405" s="1037"/>
      <c r="AA405" s="1037"/>
      <c r="AB405" s="1037"/>
      <c r="AC405" s="1037"/>
      <c r="AD405" s="1037"/>
      <c r="AE405" s="1037"/>
      <c r="AF405" s="1037"/>
      <c r="AG405" s="1037"/>
      <c r="AH405" s="1037"/>
      <c r="AI405" s="1037"/>
      <c r="AJ405" s="1037"/>
      <c r="AK405" s="1037"/>
      <c r="AL405" s="1037"/>
      <c r="AM405" s="1037"/>
      <c r="AN405" s="1037"/>
      <c r="AO405" s="1037"/>
      <c r="AP405" s="1037"/>
    </row>
    <row r="406" spans="1:42" s="226" customFormat="1">
      <c r="A406" s="2060"/>
      <c r="B406" s="1037"/>
      <c r="C406" s="1037"/>
      <c r="D406" s="1037"/>
      <c r="E406" s="1037"/>
      <c r="F406" s="1037"/>
      <c r="G406" s="1037"/>
      <c r="H406" s="1018"/>
      <c r="I406" s="1037"/>
      <c r="J406" s="1037"/>
      <c r="K406" s="1037"/>
      <c r="L406" s="1037"/>
      <c r="M406" s="1037"/>
      <c r="N406" s="1037"/>
      <c r="O406" s="1037"/>
      <c r="P406" s="1037"/>
      <c r="Q406" s="1037"/>
      <c r="R406" s="1037"/>
      <c r="S406" s="1037"/>
      <c r="T406" s="1037"/>
      <c r="U406" s="1037"/>
      <c r="V406" s="1037"/>
      <c r="W406" s="1037"/>
      <c r="X406" s="1037"/>
      <c r="Y406" s="1037"/>
      <c r="Z406" s="1037"/>
      <c r="AA406" s="1037"/>
      <c r="AB406" s="1037"/>
      <c r="AC406" s="1037"/>
      <c r="AD406" s="1037"/>
      <c r="AE406" s="1037"/>
      <c r="AF406" s="1037"/>
      <c r="AG406" s="1037"/>
      <c r="AH406" s="1037"/>
      <c r="AI406" s="1037"/>
      <c r="AJ406" s="1037"/>
      <c r="AK406" s="1037"/>
      <c r="AL406" s="1037"/>
      <c r="AM406" s="1037"/>
      <c r="AN406" s="1037"/>
      <c r="AO406" s="1037"/>
      <c r="AP406" s="1037"/>
    </row>
    <row r="407" spans="1:42" s="226" customFormat="1">
      <c r="A407" s="2060"/>
      <c r="B407" s="1037"/>
      <c r="C407" s="1037"/>
      <c r="D407" s="1037"/>
      <c r="E407" s="1037"/>
      <c r="F407" s="1037"/>
      <c r="G407" s="1037"/>
      <c r="H407" s="1018"/>
      <c r="I407" s="1037"/>
      <c r="J407" s="1037"/>
      <c r="K407" s="1037"/>
      <c r="L407" s="1037"/>
      <c r="M407" s="1037"/>
      <c r="N407" s="1037"/>
      <c r="O407" s="1037"/>
      <c r="P407" s="1037"/>
      <c r="Q407" s="1037"/>
      <c r="R407" s="1037"/>
      <c r="S407" s="1037"/>
      <c r="T407" s="1037"/>
      <c r="U407" s="1037"/>
      <c r="V407" s="1037"/>
      <c r="W407" s="1037"/>
      <c r="X407" s="1037"/>
      <c r="Y407" s="1037"/>
      <c r="Z407" s="1037"/>
      <c r="AA407" s="1037"/>
      <c r="AB407" s="1037"/>
      <c r="AC407" s="1037"/>
      <c r="AD407" s="1037"/>
      <c r="AE407" s="1037"/>
      <c r="AF407" s="1037"/>
      <c r="AG407" s="1037"/>
      <c r="AH407" s="1037"/>
      <c r="AI407" s="1037"/>
      <c r="AJ407" s="1037"/>
      <c r="AK407" s="1037"/>
      <c r="AL407" s="1037"/>
      <c r="AM407" s="1037"/>
      <c r="AN407" s="1037"/>
      <c r="AO407" s="1037"/>
      <c r="AP407" s="1037"/>
    </row>
    <row r="408" spans="1:42" s="226" customFormat="1">
      <c r="A408" s="2060"/>
      <c r="B408" s="1037"/>
      <c r="C408" s="1037"/>
      <c r="D408" s="1037"/>
      <c r="E408" s="1037"/>
      <c r="F408" s="1037"/>
      <c r="G408" s="1037"/>
      <c r="H408" s="1018"/>
      <c r="I408" s="1037"/>
      <c r="J408" s="1037"/>
      <c r="K408" s="1037"/>
      <c r="L408" s="1037"/>
      <c r="M408" s="1037"/>
      <c r="N408" s="1037"/>
      <c r="O408" s="1037"/>
      <c r="P408" s="1037"/>
      <c r="Q408" s="1037"/>
      <c r="R408" s="1037"/>
      <c r="S408" s="1037"/>
      <c r="T408" s="1037"/>
      <c r="U408" s="1037"/>
      <c r="V408" s="1037"/>
      <c r="W408" s="1037"/>
      <c r="X408" s="1037"/>
      <c r="Y408" s="1037"/>
      <c r="Z408" s="1037"/>
      <c r="AA408" s="1037"/>
      <c r="AB408" s="1037"/>
      <c r="AC408" s="1037"/>
      <c r="AD408" s="1037"/>
      <c r="AE408" s="1037"/>
      <c r="AF408" s="1037"/>
      <c r="AG408" s="1037"/>
      <c r="AH408" s="1037"/>
      <c r="AI408" s="1037"/>
      <c r="AJ408" s="1037"/>
      <c r="AK408" s="1037"/>
      <c r="AL408" s="1037"/>
      <c r="AM408" s="1037"/>
      <c r="AN408" s="1037"/>
      <c r="AO408" s="1037"/>
      <c r="AP408" s="1037"/>
    </row>
    <row r="409" spans="1:42" s="226" customFormat="1">
      <c r="A409" s="2060"/>
      <c r="B409" s="1037"/>
      <c r="C409" s="1037"/>
      <c r="D409" s="1037"/>
      <c r="E409" s="1037"/>
      <c r="F409" s="1037"/>
      <c r="G409" s="1037"/>
      <c r="H409" s="1018"/>
      <c r="I409" s="1037"/>
      <c r="J409" s="1037"/>
      <c r="K409" s="1037"/>
      <c r="L409" s="1037"/>
      <c r="M409" s="1037"/>
      <c r="N409" s="1037"/>
      <c r="O409" s="1037"/>
      <c r="P409" s="1037"/>
      <c r="Q409" s="1037"/>
      <c r="R409" s="1037"/>
      <c r="S409" s="1037"/>
      <c r="T409" s="1037"/>
      <c r="U409" s="1037"/>
      <c r="V409" s="1037"/>
      <c r="W409" s="1037"/>
      <c r="X409" s="1037"/>
      <c r="Y409" s="1037"/>
      <c r="Z409" s="1037"/>
      <c r="AA409" s="1037"/>
      <c r="AB409" s="1037"/>
      <c r="AC409" s="1037"/>
      <c r="AD409" s="1037"/>
      <c r="AE409" s="1037"/>
      <c r="AF409" s="1037"/>
      <c r="AG409" s="1037"/>
      <c r="AH409" s="1037"/>
      <c r="AI409" s="1037"/>
      <c r="AJ409" s="1037"/>
      <c r="AK409" s="1037"/>
      <c r="AL409" s="1037"/>
      <c r="AM409" s="1037"/>
      <c r="AN409" s="1037"/>
      <c r="AO409" s="1037"/>
      <c r="AP409" s="1037"/>
    </row>
    <row r="410" spans="1:42" s="226" customFormat="1">
      <c r="A410" s="2060"/>
      <c r="B410" s="1037"/>
      <c r="C410" s="1037"/>
      <c r="D410" s="1037"/>
      <c r="E410" s="1037"/>
      <c r="F410" s="1037"/>
      <c r="G410" s="1037"/>
      <c r="H410" s="1018"/>
      <c r="I410" s="1037"/>
      <c r="J410" s="1037"/>
      <c r="K410" s="1037"/>
      <c r="L410" s="1037"/>
      <c r="M410" s="1037"/>
      <c r="N410" s="1037"/>
      <c r="O410" s="1037"/>
      <c r="P410" s="1037"/>
      <c r="Q410" s="1037"/>
      <c r="R410" s="1037"/>
      <c r="S410" s="1037"/>
      <c r="T410" s="1037"/>
      <c r="U410" s="1037"/>
      <c r="V410" s="1037"/>
      <c r="W410" s="1037"/>
      <c r="X410" s="1037"/>
      <c r="Y410" s="1037"/>
      <c r="Z410" s="1037"/>
      <c r="AA410" s="1037"/>
      <c r="AB410" s="1037"/>
      <c r="AC410" s="1037"/>
      <c r="AD410" s="1037"/>
      <c r="AE410" s="1037"/>
      <c r="AF410" s="1037"/>
      <c r="AG410" s="1037"/>
      <c r="AH410" s="1037"/>
      <c r="AI410" s="1037"/>
      <c r="AJ410" s="1037"/>
      <c r="AK410" s="1037"/>
      <c r="AL410" s="1037"/>
      <c r="AM410" s="1037"/>
      <c r="AN410" s="1037"/>
      <c r="AO410" s="1037"/>
      <c r="AP410" s="1037"/>
    </row>
    <row r="411" spans="1:42" s="226" customFormat="1">
      <c r="A411" s="2060"/>
      <c r="B411" s="1037"/>
      <c r="C411" s="1037"/>
      <c r="D411" s="1037"/>
      <c r="E411" s="1037"/>
      <c r="F411" s="1037"/>
      <c r="G411" s="1037"/>
      <c r="H411" s="1018"/>
      <c r="I411" s="1037"/>
      <c r="J411" s="1037"/>
      <c r="K411" s="1037"/>
      <c r="L411" s="1037"/>
      <c r="M411" s="1037"/>
      <c r="N411" s="1037"/>
      <c r="O411" s="1037"/>
      <c r="P411" s="1037"/>
      <c r="Q411" s="1037"/>
      <c r="R411" s="1037"/>
      <c r="S411" s="1037"/>
      <c r="T411" s="1037"/>
      <c r="U411" s="1037"/>
      <c r="V411" s="1037"/>
      <c r="W411" s="1037"/>
      <c r="X411" s="1037"/>
      <c r="Y411" s="1037"/>
      <c r="Z411" s="1037"/>
      <c r="AA411" s="1037"/>
      <c r="AB411" s="1037"/>
      <c r="AC411" s="1037"/>
      <c r="AD411" s="1037"/>
      <c r="AE411" s="1037"/>
      <c r="AF411" s="1037"/>
      <c r="AG411" s="1037"/>
      <c r="AH411" s="1037"/>
      <c r="AI411" s="1037"/>
      <c r="AJ411" s="1037"/>
      <c r="AK411" s="1037"/>
      <c r="AL411" s="1037"/>
      <c r="AM411" s="1037"/>
      <c r="AN411" s="1037"/>
      <c r="AO411" s="1037"/>
      <c r="AP411" s="1037"/>
    </row>
    <row r="412" spans="1:42" s="226" customFormat="1">
      <c r="A412" s="2060"/>
      <c r="B412" s="1037"/>
      <c r="C412" s="1037"/>
      <c r="D412" s="1037"/>
      <c r="E412" s="1037"/>
      <c r="F412" s="1037"/>
      <c r="G412" s="1037"/>
      <c r="H412" s="1018"/>
      <c r="I412" s="1037"/>
      <c r="J412" s="1037"/>
      <c r="K412" s="1037"/>
      <c r="L412" s="1037"/>
      <c r="M412" s="1037"/>
      <c r="N412" s="1037"/>
      <c r="O412" s="1037"/>
      <c r="P412" s="1037"/>
      <c r="Q412" s="1037"/>
      <c r="R412" s="1037"/>
      <c r="S412" s="1037"/>
      <c r="T412" s="1037"/>
      <c r="U412" s="1037"/>
      <c r="V412" s="1037"/>
      <c r="W412" s="1037"/>
      <c r="X412" s="1037"/>
      <c r="Y412" s="1037"/>
      <c r="Z412" s="1037"/>
      <c r="AA412" s="1037"/>
      <c r="AB412" s="1037"/>
      <c r="AC412" s="1037"/>
      <c r="AD412" s="1037"/>
      <c r="AE412" s="1037"/>
      <c r="AF412" s="1037"/>
      <c r="AG412" s="1037"/>
      <c r="AH412" s="1037"/>
      <c r="AI412" s="1037"/>
      <c r="AJ412" s="1037"/>
      <c r="AK412" s="1037"/>
      <c r="AL412" s="1037"/>
      <c r="AM412" s="1037"/>
      <c r="AN412" s="1037"/>
      <c r="AO412" s="1037"/>
      <c r="AP412" s="1037"/>
    </row>
    <row r="413" spans="1:42" s="226" customFormat="1">
      <c r="A413" s="2060"/>
      <c r="B413" s="1037"/>
      <c r="C413" s="1037"/>
      <c r="D413" s="1037"/>
      <c r="E413" s="1037"/>
      <c r="F413" s="1037"/>
      <c r="G413" s="1037"/>
      <c r="H413" s="1018"/>
      <c r="I413" s="1037"/>
      <c r="J413" s="1037"/>
      <c r="K413" s="1037"/>
      <c r="L413" s="1037"/>
      <c r="M413" s="1037"/>
      <c r="N413" s="1037"/>
      <c r="O413" s="1037"/>
      <c r="P413" s="1037"/>
      <c r="Q413" s="1037"/>
      <c r="R413" s="1037"/>
      <c r="S413" s="1037"/>
      <c r="T413" s="1037"/>
      <c r="U413" s="1037"/>
      <c r="V413" s="1037"/>
      <c r="W413" s="1037"/>
      <c r="X413" s="1037"/>
      <c r="Y413" s="1037"/>
      <c r="Z413" s="1037"/>
      <c r="AA413" s="1037"/>
      <c r="AB413" s="1037"/>
      <c r="AC413" s="1037"/>
      <c r="AD413" s="1037"/>
      <c r="AE413" s="1037"/>
      <c r="AF413" s="1037"/>
      <c r="AG413" s="1037"/>
      <c r="AH413" s="1037"/>
      <c r="AI413" s="1037"/>
      <c r="AJ413" s="1037"/>
      <c r="AK413" s="1037"/>
      <c r="AL413" s="1037"/>
      <c r="AM413" s="1037"/>
      <c r="AN413" s="1037"/>
      <c r="AO413" s="1037"/>
      <c r="AP413" s="1037"/>
    </row>
    <row r="414" spans="1:42" s="226" customFormat="1">
      <c r="A414" s="2060"/>
      <c r="B414" s="1037"/>
      <c r="C414" s="1037"/>
      <c r="D414" s="1037"/>
      <c r="E414" s="1037"/>
      <c r="F414" s="1037"/>
      <c r="G414" s="1037"/>
      <c r="H414" s="1018"/>
      <c r="I414" s="1037"/>
      <c r="J414" s="1037"/>
      <c r="K414" s="1037"/>
      <c r="L414" s="1037"/>
      <c r="M414" s="1037"/>
      <c r="N414" s="1037"/>
      <c r="O414" s="1037"/>
      <c r="P414" s="1037"/>
      <c r="Q414" s="1037"/>
      <c r="R414" s="1037"/>
      <c r="S414" s="1037"/>
      <c r="T414" s="1037"/>
      <c r="U414" s="1037"/>
      <c r="V414" s="1037"/>
      <c r="W414" s="1037"/>
      <c r="X414" s="1037"/>
      <c r="Y414" s="1037"/>
      <c r="Z414" s="1037"/>
      <c r="AA414" s="1037"/>
      <c r="AB414" s="1037"/>
      <c r="AC414" s="1037"/>
      <c r="AD414" s="1037"/>
      <c r="AE414" s="1037"/>
      <c r="AF414" s="1037"/>
      <c r="AG414" s="1037"/>
      <c r="AH414" s="1037"/>
      <c r="AI414" s="1037"/>
      <c r="AJ414" s="1037"/>
      <c r="AK414" s="1037"/>
      <c r="AL414" s="1037"/>
      <c r="AM414" s="1037"/>
      <c r="AN414" s="1037"/>
      <c r="AO414" s="1037"/>
      <c r="AP414" s="1037"/>
    </row>
    <row r="415" spans="1:42" s="226" customFormat="1">
      <c r="A415" s="2060"/>
      <c r="B415" s="1037"/>
      <c r="C415" s="1037"/>
      <c r="D415" s="1037"/>
      <c r="E415" s="1037"/>
      <c r="F415" s="1037"/>
      <c r="G415" s="1037"/>
      <c r="H415" s="1018"/>
      <c r="I415" s="1037"/>
      <c r="J415" s="1037"/>
      <c r="K415" s="1037"/>
      <c r="L415" s="1037"/>
      <c r="M415" s="1037"/>
      <c r="N415" s="1037"/>
      <c r="O415" s="1037"/>
      <c r="P415" s="1037"/>
      <c r="Q415" s="1037"/>
      <c r="R415" s="1037"/>
      <c r="S415" s="1037"/>
      <c r="T415" s="1037"/>
      <c r="U415" s="1037"/>
      <c r="V415" s="1037"/>
      <c r="W415" s="1037"/>
      <c r="X415" s="1037"/>
      <c r="Y415" s="1037"/>
      <c r="Z415" s="1037"/>
      <c r="AA415" s="1037"/>
      <c r="AB415" s="1037"/>
      <c r="AC415" s="1037"/>
      <c r="AD415" s="1037"/>
      <c r="AE415" s="1037"/>
      <c r="AF415" s="1037"/>
      <c r="AG415" s="1037"/>
      <c r="AH415" s="1037"/>
      <c r="AI415" s="1037"/>
      <c r="AJ415" s="1037"/>
      <c r="AK415" s="1037"/>
      <c r="AL415" s="1037"/>
      <c r="AM415" s="1037"/>
      <c r="AN415" s="1037"/>
      <c r="AO415" s="1037"/>
      <c r="AP415" s="1037"/>
    </row>
    <row r="416" spans="1:42" s="226" customFormat="1">
      <c r="A416" s="2060"/>
      <c r="B416" s="1037"/>
      <c r="C416" s="1037"/>
      <c r="D416" s="1037"/>
      <c r="E416" s="1037"/>
      <c r="F416" s="1037"/>
      <c r="G416" s="1037"/>
      <c r="H416" s="1018"/>
      <c r="I416" s="1037"/>
      <c r="J416" s="1037"/>
      <c r="K416" s="1037"/>
      <c r="L416" s="1037"/>
      <c r="M416" s="1037"/>
      <c r="N416" s="1037"/>
      <c r="O416" s="1037"/>
      <c r="P416" s="1037"/>
      <c r="Q416" s="1037"/>
      <c r="R416" s="1037"/>
      <c r="S416" s="1037"/>
      <c r="T416" s="1037"/>
      <c r="U416" s="1037"/>
      <c r="V416" s="1037"/>
      <c r="W416" s="1037"/>
      <c r="X416" s="1037"/>
      <c r="Y416" s="1037"/>
      <c r="Z416" s="1037"/>
      <c r="AA416" s="1037"/>
      <c r="AB416" s="1037"/>
      <c r="AC416" s="1037"/>
      <c r="AD416" s="1037"/>
      <c r="AE416" s="1037"/>
      <c r="AF416" s="1037"/>
      <c r="AG416" s="1037"/>
      <c r="AH416" s="1037"/>
      <c r="AI416" s="1037"/>
      <c r="AJ416" s="1037"/>
      <c r="AK416" s="1037"/>
      <c r="AL416" s="1037"/>
      <c r="AM416" s="1037"/>
      <c r="AN416" s="1037"/>
      <c r="AO416" s="1037"/>
      <c r="AP416" s="1037"/>
    </row>
    <row r="417" spans="1:42" s="226" customFormat="1">
      <c r="A417" s="2060"/>
      <c r="B417" s="1037"/>
      <c r="C417" s="1037"/>
      <c r="D417" s="1037"/>
      <c r="E417" s="1037"/>
      <c r="F417" s="1037"/>
      <c r="G417" s="1037"/>
      <c r="H417" s="1018"/>
      <c r="I417" s="1037"/>
      <c r="J417" s="1037"/>
      <c r="K417" s="1037"/>
      <c r="L417" s="1037"/>
      <c r="M417" s="1037"/>
      <c r="N417" s="1037"/>
      <c r="O417" s="1037"/>
      <c r="P417" s="1037"/>
      <c r="Q417" s="1037"/>
      <c r="R417" s="1037"/>
      <c r="S417" s="1037"/>
      <c r="T417" s="1037"/>
      <c r="U417" s="1037"/>
      <c r="V417" s="1037"/>
      <c r="W417" s="1037"/>
      <c r="X417" s="1037"/>
      <c r="Y417" s="1037"/>
      <c r="Z417" s="1037"/>
      <c r="AA417" s="1037"/>
      <c r="AB417" s="1037"/>
      <c r="AC417" s="1037"/>
      <c r="AD417" s="1037"/>
      <c r="AE417" s="1037"/>
      <c r="AF417" s="1037"/>
      <c r="AG417" s="1037"/>
      <c r="AH417" s="1037"/>
      <c r="AI417" s="1037"/>
      <c r="AJ417" s="1037"/>
      <c r="AK417" s="1037"/>
      <c r="AL417" s="1037"/>
      <c r="AM417" s="1037"/>
      <c r="AN417" s="1037"/>
      <c r="AO417" s="1037"/>
      <c r="AP417" s="1037"/>
    </row>
    <row r="418" spans="1:42" s="226" customFormat="1">
      <c r="A418" s="2060"/>
      <c r="B418" s="1037"/>
      <c r="C418" s="1037"/>
      <c r="D418" s="1037"/>
      <c r="E418" s="1037"/>
      <c r="F418" s="1037"/>
      <c r="G418" s="1037"/>
      <c r="H418" s="1018"/>
      <c r="I418" s="1037"/>
      <c r="J418" s="1037"/>
      <c r="K418" s="1037"/>
      <c r="L418" s="1037"/>
      <c r="M418" s="1037"/>
      <c r="N418" s="1037"/>
      <c r="O418" s="1037"/>
      <c r="P418" s="1037"/>
      <c r="Q418" s="1037"/>
      <c r="R418" s="1037"/>
      <c r="S418" s="1037"/>
      <c r="T418" s="1037"/>
      <c r="U418" s="1037"/>
      <c r="V418" s="1037"/>
      <c r="W418" s="1037"/>
      <c r="X418" s="1037"/>
      <c r="Y418" s="1037"/>
      <c r="Z418" s="1037"/>
      <c r="AA418" s="1037"/>
      <c r="AB418" s="1037"/>
      <c r="AC418" s="1037"/>
      <c r="AD418" s="1037"/>
      <c r="AE418" s="1037"/>
      <c r="AF418" s="1037"/>
      <c r="AG418" s="1037"/>
      <c r="AH418" s="1037"/>
      <c r="AI418" s="1037"/>
      <c r="AJ418" s="1037"/>
      <c r="AK418" s="1037"/>
      <c r="AL418" s="1037"/>
      <c r="AM418" s="1037"/>
      <c r="AN418" s="1037"/>
      <c r="AO418" s="1037"/>
      <c r="AP418" s="1037"/>
    </row>
    <row r="419" spans="1:42" s="226" customFormat="1">
      <c r="A419" s="2060"/>
      <c r="B419" s="1037"/>
      <c r="C419" s="1037"/>
      <c r="D419" s="1037"/>
      <c r="E419" s="1037"/>
      <c r="F419" s="1037"/>
      <c r="G419" s="1037"/>
      <c r="H419" s="1018"/>
      <c r="I419" s="1037"/>
      <c r="J419" s="1037"/>
      <c r="K419" s="1037"/>
      <c r="L419" s="1037"/>
      <c r="M419" s="1037"/>
      <c r="N419" s="1037"/>
      <c r="O419" s="1037"/>
      <c r="P419" s="1037"/>
      <c r="Q419" s="1037"/>
      <c r="R419" s="1037"/>
      <c r="S419" s="1037"/>
      <c r="T419" s="1037"/>
      <c r="U419" s="1037"/>
      <c r="V419" s="1037"/>
      <c r="W419" s="1037"/>
      <c r="X419" s="1037"/>
      <c r="Y419" s="1037"/>
      <c r="Z419" s="1037"/>
      <c r="AA419" s="1037"/>
      <c r="AB419" s="1037"/>
      <c r="AC419" s="1037"/>
      <c r="AD419" s="1037"/>
      <c r="AE419" s="1037"/>
      <c r="AF419" s="1037"/>
      <c r="AG419" s="1037"/>
      <c r="AH419" s="1037"/>
      <c r="AI419" s="1037"/>
      <c r="AJ419" s="1037"/>
      <c r="AK419" s="1037"/>
      <c r="AL419" s="1037"/>
      <c r="AM419" s="1037"/>
      <c r="AN419" s="1037"/>
      <c r="AO419" s="1037"/>
      <c r="AP419" s="1037"/>
    </row>
    <row r="420" spans="1:42" s="226" customFormat="1">
      <c r="A420" s="2060"/>
      <c r="B420" s="1037"/>
      <c r="C420" s="1037"/>
      <c r="D420" s="1037"/>
      <c r="E420" s="1037"/>
      <c r="F420" s="1037"/>
      <c r="G420" s="1037"/>
      <c r="H420" s="1018"/>
      <c r="I420" s="1037"/>
      <c r="J420" s="1037"/>
      <c r="K420" s="1037"/>
      <c r="L420" s="1037"/>
      <c r="M420" s="1037"/>
      <c r="N420" s="1037"/>
      <c r="O420" s="1037"/>
      <c r="P420" s="1037"/>
      <c r="Q420" s="1037"/>
      <c r="R420" s="1037"/>
      <c r="S420" s="1037"/>
      <c r="T420" s="1037"/>
      <c r="U420" s="1037"/>
      <c r="V420" s="1037"/>
      <c r="W420" s="1037"/>
      <c r="X420" s="1037"/>
      <c r="Y420" s="1037"/>
      <c r="Z420" s="1037"/>
      <c r="AA420" s="1037"/>
      <c r="AB420" s="1037"/>
      <c r="AC420" s="1037"/>
      <c r="AD420" s="1037"/>
      <c r="AE420" s="1037"/>
      <c r="AF420" s="1037"/>
      <c r="AG420" s="1037"/>
      <c r="AH420" s="1037"/>
      <c r="AI420" s="1037"/>
      <c r="AJ420" s="1037"/>
      <c r="AK420" s="1037"/>
      <c r="AL420" s="1037"/>
      <c r="AM420" s="1037"/>
      <c r="AN420" s="1037"/>
      <c r="AO420" s="1037"/>
      <c r="AP420" s="1037"/>
    </row>
    <row r="421" spans="1:42" s="226" customFormat="1">
      <c r="A421" s="2060"/>
      <c r="B421" s="1037"/>
      <c r="C421" s="1037"/>
      <c r="D421" s="1037"/>
      <c r="E421" s="1037"/>
      <c r="F421" s="1037"/>
      <c r="G421" s="1037"/>
      <c r="H421" s="1018"/>
      <c r="I421" s="1037"/>
      <c r="J421" s="1037"/>
      <c r="K421" s="1037"/>
      <c r="L421" s="1037"/>
      <c r="M421" s="1037"/>
      <c r="N421" s="1037"/>
      <c r="O421" s="1037"/>
      <c r="P421" s="1037"/>
      <c r="Q421" s="1037"/>
      <c r="R421" s="1037"/>
      <c r="S421" s="1037"/>
      <c r="T421" s="1037"/>
      <c r="U421" s="1037"/>
      <c r="V421" s="1037"/>
      <c r="W421" s="1037"/>
      <c r="X421" s="1037"/>
      <c r="Y421" s="1037"/>
      <c r="Z421" s="1037"/>
      <c r="AA421" s="1037"/>
      <c r="AB421" s="1037"/>
      <c r="AC421" s="1037"/>
      <c r="AD421" s="1037"/>
      <c r="AE421" s="1037"/>
      <c r="AF421" s="1037"/>
      <c r="AG421" s="1037"/>
      <c r="AH421" s="1037"/>
      <c r="AI421" s="1037"/>
      <c r="AJ421" s="1037"/>
      <c r="AK421" s="1037"/>
      <c r="AL421" s="1037"/>
      <c r="AM421" s="1037"/>
      <c r="AN421" s="1037"/>
      <c r="AO421" s="1037"/>
      <c r="AP421" s="1037"/>
    </row>
    <row r="422" spans="1:42" s="226" customFormat="1">
      <c r="A422" s="2060"/>
      <c r="B422" s="1037"/>
      <c r="C422" s="1037"/>
      <c r="D422" s="1037"/>
      <c r="E422" s="1037"/>
      <c r="F422" s="1037"/>
      <c r="G422" s="1037"/>
      <c r="H422" s="1018"/>
      <c r="I422" s="1037"/>
      <c r="J422" s="1037"/>
      <c r="K422" s="1037"/>
      <c r="L422" s="1037"/>
      <c r="M422" s="1037"/>
      <c r="N422" s="1037"/>
      <c r="O422" s="1037"/>
      <c r="P422" s="1037"/>
      <c r="Q422" s="1037"/>
      <c r="R422" s="1037"/>
      <c r="S422" s="1037"/>
      <c r="T422" s="1037"/>
      <c r="U422" s="1037"/>
      <c r="V422" s="1037"/>
      <c r="W422" s="1037"/>
      <c r="X422" s="1037"/>
      <c r="Y422" s="1037"/>
      <c r="Z422" s="1037"/>
      <c r="AA422" s="1037"/>
      <c r="AB422" s="1037"/>
      <c r="AC422" s="1037"/>
      <c r="AD422" s="1037"/>
      <c r="AE422" s="1037"/>
      <c r="AF422" s="1037"/>
      <c r="AG422" s="1037"/>
      <c r="AH422" s="1037"/>
      <c r="AI422" s="1037"/>
      <c r="AJ422" s="1037"/>
      <c r="AK422" s="1037"/>
      <c r="AL422" s="1037"/>
      <c r="AM422" s="1037"/>
      <c r="AN422" s="1037"/>
      <c r="AO422" s="1037"/>
      <c r="AP422" s="1037"/>
    </row>
    <row r="423" spans="1:42" s="226" customFormat="1">
      <c r="A423" s="2060"/>
      <c r="B423" s="1037"/>
      <c r="C423" s="1037"/>
      <c r="D423" s="1037"/>
      <c r="E423" s="1037"/>
      <c r="F423" s="1037"/>
      <c r="G423" s="1037"/>
      <c r="H423" s="1018"/>
      <c r="I423" s="1037"/>
      <c r="J423" s="1037"/>
      <c r="K423" s="1037"/>
      <c r="L423" s="1037"/>
      <c r="M423" s="1037"/>
      <c r="N423" s="1037"/>
      <c r="O423" s="1037"/>
      <c r="P423" s="1037"/>
      <c r="Q423" s="1037"/>
      <c r="R423" s="1037"/>
      <c r="S423" s="1037"/>
      <c r="T423" s="1037"/>
      <c r="U423" s="1037"/>
      <c r="V423" s="1037"/>
      <c r="W423" s="1037"/>
      <c r="X423" s="1037"/>
      <c r="Y423" s="1037"/>
      <c r="Z423" s="1037"/>
      <c r="AA423" s="1037"/>
      <c r="AB423" s="1037"/>
      <c r="AC423" s="1037"/>
      <c r="AD423" s="1037"/>
      <c r="AE423" s="1037"/>
      <c r="AF423" s="1037"/>
      <c r="AG423" s="1037"/>
      <c r="AH423" s="1037"/>
      <c r="AI423" s="1037"/>
      <c r="AJ423" s="1037"/>
      <c r="AK423" s="1037"/>
      <c r="AL423" s="1037"/>
      <c r="AM423" s="1037"/>
      <c r="AN423" s="1037"/>
      <c r="AO423" s="1037"/>
      <c r="AP423" s="1037"/>
    </row>
    <row r="424" spans="1:42" s="226" customFormat="1">
      <c r="A424" s="2060"/>
      <c r="B424" s="1037"/>
      <c r="C424" s="1037"/>
      <c r="D424" s="1037"/>
      <c r="E424" s="1037"/>
      <c r="F424" s="1037"/>
      <c r="G424" s="1037"/>
      <c r="H424" s="1018"/>
      <c r="I424" s="1037"/>
      <c r="J424" s="1037"/>
      <c r="K424" s="1037"/>
      <c r="L424" s="1037"/>
      <c r="M424" s="1037"/>
      <c r="N424" s="1037"/>
      <c r="O424" s="1037"/>
      <c r="P424" s="1037"/>
      <c r="Q424" s="1037"/>
      <c r="R424" s="1037"/>
      <c r="S424" s="1037"/>
      <c r="T424" s="1037"/>
      <c r="U424" s="1037"/>
      <c r="V424" s="1037"/>
      <c r="W424" s="1037"/>
      <c r="X424" s="1037"/>
      <c r="Y424" s="1037"/>
      <c r="Z424" s="1037"/>
      <c r="AA424" s="1037"/>
      <c r="AB424" s="1037"/>
      <c r="AC424" s="1037"/>
      <c r="AD424" s="1037"/>
      <c r="AE424" s="1037"/>
      <c r="AF424" s="1037"/>
      <c r="AG424" s="1037"/>
      <c r="AH424" s="1037"/>
      <c r="AI424" s="1037"/>
      <c r="AJ424" s="1037"/>
      <c r="AK424" s="1037"/>
      <c r="AL424" s="1037"/>
      <c r="AM424" s="1037"/>
      <c r="AN424" s="1037"/>
      <c r="AO424" s="1037"/>
      <c r="AP424" s="1037"/>
    </row>
    <row r="425" spans="1:42" s="226" customFormat="1">
      <c r="A425" s="2060"/>
      <c r="B425" s="1037"/>
      <c r="C425" s="1037"/>
      <c r="D425" s="1037"/>
      <c r="E425" s="1037"/>
      <c r="F425" s="1037"/>
      <c r="G425" s="1037"/>
      <c r="H425" s="1018"/>
      <c r="I425" s="1037"/>
      <c r="J425" s="1037"/>
      <c r="K425" s="1037"/>
      <c r="L425" s="1037"/>
      <c r="M425" s="1037"/>
      <c r="N425" s="1037"/>
      <c r="O425" s="1037"/>
      <c r="P425" s="1037"/>
      <c r="Q425" s="1037"/>
      <c r="R425" s="1037"/>
      <c r="S425" s="1037"/>
      <c r="T425" s="1037"/>
      <c r="U425" s="1037"/>
      <c r="V425" s="1037"/>
      <c r="W425" s="1037"/>
      <c r="X425" s="1037"/>
      <c r="Y425" s="1037"/>
      <c r="Z425" s="1037"/>
      <c r="AA425" s="1037"/>
      <c r="AB425" s="1037"/>
      <c r="AC425" s="1037"/>
      <c r="AD425" s="1037"/>
      <c r="AE425" s="1037"/>
      <c r="AF425" s="1037"/>
      <c r="AG425" s="1037"/>
      <c r="AH425" s="1037"/>
      <c r="AI425" s="1037"/>
      <c r="AJ425" s="1037"/>
      <c r="AK425" s="1037"/>
      <c r="AL425" s="1037"/>
      <c r="AM425" s="1037"/>
      <c r="AN425" s="1037"/>
      <c r="AO425" s="1037"/>
      <c r="AP425" s="1037"/>
    </row>
    <row r="426" spans="1:42" s="226" customFormat="1">
      <c r="A426" s="2060"/>
      <c r="B426" s="1037"/>
      <c r="C426" s="1037"/>
      <c r="D426" s="1037"/>
      <c r="E426" s="1037"/>
      <c r="F426" s="1037"/>
      <c r="G426" s="1037"/>
      <c r="H426" s="1018"/>
      <c r="I426" s="1037"/>
      <c r="J426" s="1037"/>
      <c r="K426" s="1037"/>
      <c r="L426" s="1037"/>
      <c r="M426" s="1037"/>
      <c r="N426" s="1037"/>
      <c r="O426" s="1037"/>
      <c r="P426" s="1037"/>
      <c r="Q426" s="1037"/>
      <c r="R426" s="1037"/>
      <c r="S426" s="1037"/>
      <c r="T426" s="1037"/>
      <c r="U426" s="1037"/>
      <c r="V426" s="1037"/>
      <c r="W426" s="1037"/>
      <c r="X426" s="1037"/>
      <c r="Y426" s="1037"/>
      <c r="Z426" s="1037"/>
      <c r="AA426" s="1037"/>
      <c r="AB426" s="1037"/>
      <c r="AC426" s="1037"/>
      <c r="AD426" s="1037"/>
      <c r="AE426" s="1037"/>
      <c r="AF426" s="1037"/>
      <c r="AG426" s="1037"/>
      <c r="AH426" s="1037"/>
      <c r="AI426" s="1037"/>
      <c r="AJ426" s="1037"/>
      <c r="AK426" s="1037"/>
      <c r="AL426" s="1037"/>
      <c r="AM426" s="1037"/>
      <c r="AN426" s="1037"/>
      <c r="AO426" s="1037"/>
      <c r="AP426" s="1037"/>
    </row>
    <row r="427" spans="1:42" s="226" customFormat="1">
      <c r="A427" s="2060"/>
      <c r="B427" s="1037"/>
      <c r="C427" s="1037"/>
      <c r="D427" s="1037"/>
      <c r="E427" s="1037"/>
      <c r="F427" s="1037"/>
      <c r="G427" s="1037"/>
      <c r="H427" s="1018"/>
      <c r="I427" s="1037"/>
      <c r="J427" s="1037"/>
      <c r="K427" s="1037"/>
      <c r="L427" s="1037"/>
      <c r="M427" s="1037"/>
      <c r="N427" s="1037"/>
      <c r="O427" s="1037"/>
      <c r="P427" s="1037"/>
      <c r="Q427" s="1037"/>
      <c r="R427" s="1037"/>
      <c r="S427" s="1037"/>
      <c r="T427" s="1037"/>
      <c r="U427" s="1037"/>
      <c r="V427" s="1037"/>
      <c r="W427" s="1037"/>
      <c r="X427" s="1037"/>
      <c r="Y427" s="1037"/>
      <c r="Z427" s="1037"/>
      <c r="AA427" s="1037"/>
      <c r="AB427" s="1037"/>
      <c r="AC427" s="1037"/>
      <c r="AD427" s="1037"/>
      <c r="AE427" s="1037"/>
      <c r="AF427" s="1037"/>
      <c r="AG427" s="1037"/>
      <c r="AH427" s="1037"/>
      <c r="AI427" s="1037"/>
      <c r="AJ427" s="1037"/>
      <c r="AK427" s="1037"/>
      <c r="AL427" s="1037"/>
      <c r="AM427" s="1037"/>
      <c r="AN427" s="1037"/>
      <c r="AO427" s="1037"/>
      <c r="AP427" s="1037"/>
    </row>
    <row r="428" spans="1:42" s="226" customFormat="1">
      <c r="A428" s="2060"/>
      <c r="B428" s="1037"/>
      <c r="C428" s="1037"/>
      <c r="D428" s="1037"/>
      <c r="E428" s="1037"/>
      <c r="F428" s="1037"/>
      <c r="G428" s="1037"/>
      <c r="H428" s="1018"/>
      <c r="I428" s="1037"/>
      <c r="J428" s="1037"/>
      <c r="K428" s="1037"/>
      <c r="L428" s="1037"/>
      <c r="M428" s="1037"/>
      <c r="N428" s="1037"/>
      <c r="O428" s="1037"/>
      <c r="P428" s="1037"/>
      <c r="Q428" s="1037"/>
      <c r="R428" s="1037"/>
      <c r="S428" s="1037"/>
      <c r="T428" s="1037"/>
      <c r="U428" s="1037"/>
      <c r="V428" s="1037"/>
      <c r="W428" s="1037"/>
      <c r="X428" s="1037"/>
      <c r="Y428" s="1037"/>
      <c r="Z428" s="1037"/>
      <c r="AA428" s="1037"/>
      <c r="AB428" s="1037"/>
      <c r="AC428" s="1037"/>
      <c r="AD428" s="1037"/>
      <c r="AE428" s="1037"/>
      <c r="AF428" s="1037"/>
      <c r="AG428" s="1037"/>
      <c r="AH428" s="1037"/>
      <c r="AI428" s="1037"/>
      <c r="AJ428" s="1037"/>
      <c r="AK428" s="1037"/>
      <c r="AL428" s="1037"/>
      <c r="AM428" s="1037"/>
      <c r="AN428" s="1037"/>
      <c r="AO428" s="1037"/>
      <c r="AP428" s="1037"/>
    </row>
    <row r="429" spans="1:42" s="226" customFormat="1">
      <c r="A429" s="2060"/>
      <c r="B429" s="1037"/>
      <c r="C429" s="1037"/>
      <c r="D429" s="1037"/>
      <c r="E429" s="1037"/>
      <c r="F429" s="1037"/>
      <c r="G429" s="1037"/>
      <c r="H429" s="1018"/>
      <c r="I429" s="1037"/>
      <c r="J429" s="1037"/>
      <c r="K429" s="1037"/>
      <c r="L429" s="1037"/>
      <c r="M429" s="1037"/>
      <c r="N429" s="1037"/>
      <c r="O429" s="1037"/>
      <c r="P429" s="1037"/>
      <c r="Q429" s="1037"/>
      <c r="R429" s="1037"/>
      <c r="S429" s="1037"/>
      <c r="T429" s="1037"/>
      <c r="U429" s="1037"/>
      <c r="V429" s="1037"/>
      <c r="W429" s="1037"/>
      <c r="X429" s="1037"/>
      <c r="Y429" s="1037"/>
      <c r="Z429" s="1037"/>
      <c r="AA429" s="1037"/>
      <c r="AB429" s="1037"/>
      <c r="AC429" s="1037"/>
      <c r="AD429" s="1037"/>
      <c r="AE429" s="1037"/>
      <c r="AF429" s="1037"/>
      <c r="AG429" s="1037"/>
      <c r="AH429" s="1037"/>
      <c r="AI429" s="1037"/>
      <c r="AJ429" s="1037"/>
      <c r="AK429" s="1037"/>
      <c r="AL429" s="1037"/>
      <c r="AM429" s="1037"/>
      <c r="AN429" s="1037"/>
      <c r="AO429" s="1037"/>
      <c r="AP429" s="1037"/>
    </row>
    <row r="430" spans="1:42" s="226" customFormat="1">
      <c r="A430" s="2060"/>
      <c r="B430" s="1037"/>
      <c r="C430" s="1037"/>
      <c r="D430" s="1037"/>
      <c r="E430" s="1037"/>
      <c r="F430" s="1037"/>
      <c r="G430" s="1037"/>
      <c r="H430" s="1018"/>
      <c r="I430" s="1037"/>
      <c r="J430" s="1037"/>
      <c r="K430" s="1037"/>
      <c r="L430" s="1037"/>
      <c r="M430" s="1037"/>
      <c r="N430" s="1037"/>
      <c r="O430" s="1037"/>
      <c r="P430" s="1037"/>
      <c r="Q430" s="1037"/>
      <c r="R430" s="1037"/>
      <c r="S430" s="1037"/>
      <c r="T430" s="1037"/>
      <c r="U430" s="1037"/>
      <c r="V430" s="1037"/>
      <c r="W430" s="1037"/>
      <c r="X430" s="1037"/>
      <c r="Y430" s="1037"/>
      <c r="Z430" s="1037"/>
      <c r="AA430" s="1037"/>
      <c r="AB430" s="1037"/>
      <c r="AC430" s="1037"/>
      <c r="AD430" s="1037"/>
      <c r="AE430" s="1037"/>
      <c r="AF430" s="1037"/>
      <c r="AG430" s="1037"/>
      <c r="AH430" s="1037"/>
      <c r="AI430" s="1037"/>
      <c r="AJ430" s="1037"/>
      <c r="AK430" s="1037"/>
      <c r="AL430" s="1037"/>
      <c r="AM430" s="1037"/>
      <c r="AN430" s="1037"/>
      <c r="AO430" s="1037"/>
      <c r="AP430" s="1037"/>
    </row>
    <row r="431" spans="1:42" s="226" customFormat="1">
      <c r="A431" s="2060"/>
      <c r="B431" s="1037"/>
      <c r="C431" s="1037"/>
      <c r="D431" s="1037"/>
      <c r="E431" s="1037"/>
      <c r="F431" s="1037"/>
      <c r="G431" s="1037"/>
      <c r="H431" s="1018"/>
      <c r="I431" s="1037"/>
      <c r="J431" s="1037"/>
      <c r="K431" s="1037"/>
      <c r="L431" s="1037"/>
      <c r="M431" s="1037"/>
      <c r="N431" s="1037"/>
      <c r="O431" s="1037"/>
      <c r="P431" s="1037"/>
      <c r="Q431" s="1037"/>
      <c r="R431" s="1037"/>
      <c r="S431" s="1037"/>
      <c r="T431" s="1037"/>
      <c r="U431" s="1037"/>
      <c r="V431" s="1037"/>
      <c r="W431" s="1037"/>
      <c r="X431" s="1037"/>
      <c r="Y431" s="1037"/>
      <c r="Z431" s="1037"/>
      <c r="AA431" s="1037"/>
      <c r="AB431" s="1037"/>
      <c r="AC431" s="1037"/>
      <c r="AD431" s="1037"/>
      <c r="AE431" s="1037"/>
      <c r="AF431" s="1037"/>
      <c r="AG431" s="1037"/>
      <c r="AH431" s="1037"/>
      <c r="AI431" s="1037"/>
      <c r="AJ431" s="1037"/>
      <c r="AK431" s="1037"/>
      <c r="AL431" s="1037"/>
      <c r="AM431" s="1037"/>
      <c r="AN431" s="1037"/>
      <c r="AO431" s="1037"/>
      <c r="AP431" s="1037"/>
    </row>
    <row r="432" spans="1:42" s="226" customFormat="1">
      <c r="A432" s="2060"/>
      <c r="B432" s="1037"/>
      <c r="C432" s="1037"/>
      <c r="D432" s="1037"/>
      <c r="E432" s="1037"/>
      <c r="F432" s="1037"/>
      <c r="G432" s="1037"/>
      <c r="H432" s="1018"/>
      <c r="I432" s="1037"/>
      <c r="J432" s="1037"/>
      <c r="K432" s="1037"/>
      <c r="L432" s="1037"/>
      <c r="M432" s="1037"/>
      <c r="N432" s="1037"/>
      <c r="O432" s="1037"/>
      <c r="P432" s="1037"/>
      <c r="Q432" s="1037"/>
      <c r="R432" s="1037"/>
      <c r="S432" s="1037"/>
      <c r="T432" s="1037"/>
      <c r="U432" s="1037"/>
      <c r="V432" s="1037"/>
      <c r="W432" s="1037"/>
      <c r="X432" s="1037"/>
      <c r="Y432" s="1037"/>
      <c r="Z432" s="1037"/>
      <c r="AA432" s="1037"/>
      <c r="AB432" s="1037"/>
      <c r="AC432" s="1037"/>
      <c r="AD432" s="1037"/>
      <c r="AE432" s="1037"/>
      <c r="AF432" s="1037"/>
      <c r="AG432" s="1037"/>
      <c r="AH432" s="1037"/>
      <c r="AI432" s="1037"/>
      <c r="AJ432" s="1037"/>
      <c r="AK432" s="1037"/>
      <c r="AL432" s="1037"/>
      <c r="AM432" s="1037"/>
      <c r="AN432" s="1037"/>
      <c r="AO432" s="1037"/>
      <c r="AP432" s="1037"/>
    </row>
    <row r="433" spans="1:42" s="226" customFormat="1">
      <c r="A433" s="2060"/>
      <c r="B433" s="1037"/>
      <c r="C433" s="1037"/>
      <c r="D433" s="1037"/>
      <c r="E433" s="1037"/>
      <c r="F433" s="1037"/>
      <c r="G433" s="1037"/>
      <c r="H433" s="1018"/>
      <c r="I433" s="1037"/>
      <c r="J433" s="1037"/>
      <c r="K433" s="1037"/>
      <c r="L433" s="1037"/>
      <c r="M433" s="1037"/>
      <c r="N433" s="1037"/>
      <c r="O433" s="1037"/>
      <c r="P433" s="1037"/>
      <c r="Q433" s="1037"/>
      <c r="R433" s="1037"/>
      <c r="S433" s="1037"/>
      <c r="T433" s="1037"/>
      <c r="U433" s="1037"/>
      <c r="V433" s="1037"/>
      <c r="W433" s="1037"/>
      <c r="X433" s="1037"/>
      <c r="Y433" s="1037"/>
      <c r="Z433" s="1037"/>
      <c r="AA433" s="1037"/>
      <c r="AB433" s="1037"/>
      <c r="AC433" s="1037"/>
      <c r="AD433" s="1037"/>
      <c r="AE433" s="1037"/>
      <c r="AF433" s="1037"/>
      <c r="AG433" s="1037"/>
      <c r="AH433" s="1037"/>
      <c r="AI433" s="1037"/>
      <c r="AJ433" s="1037"/>
      <c r="AK433" s="1037"/>
      <c r="AL433" s="1037"/>
      <c r="AM433" s="1037"/>
      <c r="AN433" s="1037"/>
      <c r="AO433" s="1037"/>
      <c r="AP433" s="1037"/>
    </row>
    <row r="434" spans="1:42" s="226" customFormat="1">
      <c r="A434" s="2060"/>
      <c r="B434" s="1037"/>
      <c r="C434" s="1037"/>
      <c r="D434" s="1037"/>
      <c r="E434" s="1037"/>
      <c r="F434" s="1037"/>
      <c r="G434" s="1037"/>
      <c r="H434" s="1018"/>
      <c r="I434" s="1037"/>
      <c r="J434" s="1037"/>
      <c r="K434" s="1037"/>
      <c r="L434" s="1037"/>
      <c r="M434" s="1037"/>
      <c r="N434" s="1037"/>
      <c r="O434" s="1037"/>
      <c r="P434" s="1037"/>
      <c r="Q434" s="1037"/>
      <c r="R434" s="1037"/>
      <c r="S434" s="1037"/>
      <c r="T434" s="1037"/>
      <c r="U434" s="1037"/>
      <c r="V434" s="1037"/>
      <c r="W434" s="1037"/>
      <c r="X434" s="1037"/>
      <c r="Y434" s="1037"/>
      <c r="Z434" s="1037"/>
      <c r="AA434" s="1037"/>
      <c r="AB434" s="1037"/>
      <c r="AC434" s="1037"/>
      <c r="AD434" s="1037"/>
      <c r="AE434" s="1037"/>
      <c r="AF434" s="1037"/>
      <c r="AG434" s="1037"/>
      <c r="AH434" s="1037"/>
      <c r="AI434" s="1037"/>
      <c r="AJ434" s="1037"/>
      <c r="AK434" s="1037"/>
      <c r="AL434" s="1037"/>
      <c r="AM434" s="1037"/>
      <c r="AN434" s="1037"/>
      <c r="AO434" s="1037"/>
      <c r="AP434" s="1037"/>
    </row>
    <row r="435" spans="1:42" s="226" customFormat="1">
      <c r="A435" s="2060"/>
      <c r="B435" s="1037"/>
      <c r="C435" s="1037"/>
      <c r="D435" s="1037"/>
      <c r="E435" s="1037"/>
      <c r="F435" s="1037"/>
      <c r="G435" s="1037"/>
      <c r="H435" s="1018"/>
      <c r="I435" s="1037"/>
      <c r="J435" s="1037"/>
      <c r="K435" s="1037"/>
      <c r="L435" s="1037"/>
      <c r="M435" s="1037"/>
      <c r="N435" s="1037"/>
      <c r="O435" s="1037"/>
      <c r="P435" s="1037"/>
      <c r="Q435" s="1037"/>
      <c r="R435" s="1037"/>
      <c r="S435" s="1037"/>
      <c r="T435" s="1037"/>
      <c r="U435" s="1037"/>
      <c r="V435" s="1037"/>
      <c r="W435" s="1037"/>
      <c r="X435" s="1037"/>
      <c r="Y435" s="1037"/>
      <c r="Z435" s="1037"/>
      <c r="AA435" s="1037"/>
      <c r="AB435" s="1037"/>
      <c r="AC435" s="1037"/>
      <c r="AD435" s="1037"/>
      <c r="AE435" s="1037"/>
      <c r="AF435" s="1037"/>
      <c r="AG435" s="1037"/>
      <c r="AH435" s="1037"/>
      <c r="AI435" s="1037"/>
      <c r="AJ435" s="1037"/>
      <c r="AK435" s="1037"/>
      <c r="AL435" s="1037"/>
      <c r="AM435" s="1037"/>
      <c r="AN435" s="1037"/>
      <c r="AO435" s="1037"/>
      <c r="AP435" s="1037"/>
    </row>
    <row r="436" spans="1:42" s="226" customFormat="1">
      <c r="A436" s="2060"/>
      <c r="B436" s="1037"/>
      <c r="C436" s="1037"/>
      <c r="D436" s="1037"/>
      <c r="E436" s="1037"/>
      <c r="F436" s="1037"/>
      <c r="G436" s="1037"/>
      <c r="H436" s="1018"/>
      <c r="I436" s="1037"/>
      <c r="J436" s="1037"/>
      <c r="K436" s="1037"/>
      <c r="L436" s="1037"/>
      <c r="M436" s="1037"/>
      <c r="N436" s="1037"/>
      <c r="O436" s="1037"/>
      <c r="P436" s="1037"/>
      <c r="Q436" s="1037"/>
      <c r="R436" s="1037"/>
      <c r="S436" s="1037"/>
      <c r="T436" s="1037"/>
      <c r="U436" s="1037"/>
      <c r="V436" s="1037"/>
      <c r="W436" s="1037"/>
      <c r="X436" s="1037"/>
      <c r="Y436" s="1037"/>
      <c r="Z436" s="1037"/>
      <c r="AA436" s="1037"/>
      <c r="AB436" s="1037"/>
      <c r="AC436" s="1037"/>
      <c r="AD436" s="1037"/>
      <c r="AE436" s="1037"/>
      <c r="AF436" s="1037"/>
      <c r="AG436" s="1037"/>
      <c r="AH436" s="1037"/>
      <c r="AI436" s="1037"/>
      <c r="AJ436" s="1037"/>
      <c r="AK436" s="1037"/>
      <c r="AL436" s="1037"/>
      <c r="AM436" s="1037"/>
      <c r="AN436" s="1037"/>
      <c r="AO436" s="1037"/>
      <c r="AP436" s="1037"/>
    </row>
    <row r="437" spans="1:42" s="226" customFormat="1">
      <c r="A437" s="2060"/>
      <c r="B437" s="1037"/>
      <c r="C437" s="1037"/>
      <c r="D437" s="1037"/>
      <c r="E437" s="1037"/>
      <c r="F437" s="1037"/>
      <c r="G437" s="1037"/>
      <c r="H437" s="1018"/>
      <c r="I437" s="1037"/>
      <c r="J437" s="1037"/>
      <c r="K437" s="1037"/>
      <c r="L437" s="1037"/>
      <c r="M437" s="1037"/>
      <c r="N437" s="1037"/>
      <c r="O437" s="1037"/>
      <c r="P437" s="1037"/>
      <c r="Q437" s="1037"/>
      <c r="R437" s="1037"/>
      <c r="S437" s="1037"/>
      <c r="T437" s="1037"/>
      <c r="U437" s="1037"/>
      <c r="V437" s="1037"/>
      <c r="W437" s="1037"/>
      <c r="X437" s="1037"/>
      <c r="Y437" s="1037"/>
      <c r="Z437" s="1037"/>
      <c r="AA437" s="1037"/>
      <c r="AB437" s="1037"/>
      <c r="AC437" s="1037"/>
      <c r="AD437" s="1037"/>
      <c r="AE437" s="1037"/>
      <c r="AF437" s="1037"/>
      <c r="AG437" s="1037"/>
      <c r="AH437" s="1037"/>
      <c r="AI437" s="1037"/>
      <c r="AJ437" s="1037"/>
      <c r="AK437" s="1037"/>
      <c r="AL437" s="1037"/>
      <c r="AM437" s="1037"/>
      <c r="AN437" s="1037"/>
      <c r="AO437" s="1037"/>
      <c r="AP437" s="1037"/>
    </row>
    <row r="438" spans="1:42" s="226" customFormat="1">
      <c r="A438" s="2060"/>
      <c r="B438" s="1037"/>
      <c r="C438" s="1037"/>
      <c r="D438" s="1037"/>
      <c r="E438" s="1037"/>
      <c r="F438" s="1037"/>
      <c r="G438" s="1037"/>
      <c r="H438" s="1018"/>
      <c r="I438" s="1037"/>
      <c r="J438" s="1037"/>
      <c r="K438" s="1037"/>
      <c r="L438" s="1037"/>
      <c r="M438" s="1037"/>
      <c r="N438" s="1037"/>
      <c r="O438" s="1037"/>
      <c r="P438" s="1037"/>
      <c r="Q438" s="1037"/>
      <c r="R438" s="1037"/>
      <c r="S438" s="1037"/>
      <c r="T438" s="1037"/>
      <c r="U438" s="1037"/>
      <c r="V438" s="1037"/>
      <c r="W438" s="1037"/>
      <c r="X438" s="1037"/>
      <c r="Y438" s="1037"/>
      <c r="Z438" s="1037"/>
      <c r="AA438" s="1037"/>
      <c r="AB438" s="1037"/>
      <c r="AC438" s="1037"/>
      <c r="AD438" s="1037"/>
      <c r="AE438" s="1037"/>
      <c r="AF438" s="1037"/>
      <c r="AG438" s="1037"/>
      <c r="AH438" s="1037"/>
      <c r="AI438" s="1037"/>
      <c r="AJ438" s="1037"/>
      <c r="AK438" s="1037"/>
      <c r="AL438" s="1037"/>
      <c r="AM438" s="1037"/>
      <c r="AN438" s="1037"/>
      <c r="AO438" s="1037"/>
      <c r="AP438" s="1037"/>
    </row>
    <row r="439" spans="1:42" s="226" customFormat="1">
      <c r="A439" s="2060"/>
      <c r="B439" s="1037"/>
      <c r="C439" s="1037"/>
      <c r="D439" s="1037"/>
      <c r="E439" s="1037"/>
      <c r="F439" s="1037"/>
      <c r="G439" s="1037"/>
      <c r="H439" s="1018"/>
      <c r="I439" s="1037"/>
      <c r="J439" s="1037"/>
      <c r="K439" s="1037"/>
      <c r="L439" s="1037"/>
      <c r="M439" s="1037"/>
      <c r="N439" s="1037"/>
      <c r="O439" s="1037"/>
      <c r="P439" s="1037"/>
      <c r="Q439" s="1037"/>
      <c r="R439" s="1037"/>
      <c r="S439" s="1037"/>
      <c r="T439" s="1037"/>
      <c r="U439" s="1037"/>
      <c r="V439" s="1037"/>
      <c r="W439" s="1037"/>
      <c r="X439" s="1037"/>
      <c r="Y439" s="1037"/>
      <c r="Z439" s="1037"/>
      <c r="AA439" s="1037"/>
      <c r="AB439" s="1037"/>
      <c r="AC439" s="1037"/>
      <c r="AD439" s="1037"/>
      <c r="AE439" s="1037"/>
      <c r="AF439" s="1037"/>
      <c r="AG439" s="1037"/>
      <c r="AH439" s="1037"/>
      <c r="AI439" s="1037"/>
      <c r="AJ439" s="1037"/>
      <c r="AK439" s="1037"/>
      <c r="AL439" s="1037"/>
      <c r="AM439" s="1037"/>
      <c r="AN439" s="1037"/>
      <c r="AO439" s="1037"/>
      <c r="AP439" s="1037"/>
    </row>
    <row r="440" spans="1:42" s="226" customFormat="1">
      <c r="A440" s="2060"/>
      <c r="B440" s="1037"/>
      <c r="C440" s="1037"/>
      <c r="D440" s="1037"/>
      <c r="E440" s="1037"/>
      <c r="F440" s="1037"/>
      <c r="G440" s="1037"/>
      <c r="H440" s="1018"/>
      <c r="I440" s="1037"/>
      <c r="J440" s="1037"/>
      <c r="K440" s="1037"/>
      <c r="L440" s="1037"/>
      <c r="M440" s="1037"/>
      <c r="N440" s="1037"/>
      <c r="O440" s="1037"/>
      <c r="P440" s="1037"/>
      <c r="Q440" s="1037"/>
      <c r="R440" s="1037"/>
      <c r="S440" s="1037"/>
      <c r="T440" s="1037"/>
      <c r="U440" s="1037"/>
      <c r="V440" s="1037"/>
      <c r="W440" s="1037"/>
      <c r="X440" s="1037"/>
      <c r="Y440" s="1037"/>
      <c r="Z440" s="1037"/>
      <c r="AA440" s="1037"/>
      <c r="AB440" s="1037"/>
      <c r="AC440" s="1037"/>
      <c r="AD440" s="1037"/>
      <c r="AE440" s="1037"/>
      <c r="AF440" s="1037"/>
      <c r="AG440" s="1037"/>
      <c r="AH440" s="1037"/>
      <c r="AI440" s="1037"/>
      <c r="AJ440" s="1037"/>
      <c r="AK440" s="1037"/>
      <c r="AL440" s="1037"/>
      <c r="AM440" s="1037"/>
      <c r="AN440" s="1037"/>
      <c r="AO440" s="1037"/>
      <c r="AP440" s="1037"/>
    </row>
    <row r="441" spans="1:42" s="226" customFormat="1">
      <c r="A441" s="2060"/>
      <c r="B441" s="1037"/>
      <c r="C441" s="1037"/>
      <c r="D441" s="1037"/>
      <c r="E441" s="1037"/>
      <c r="F441" s="1037"/>
      <c r="G441" s="1037"/>
      <c r="H441" s="1018"/>
      <c r="I441" s="1037"/>
      <c r="J441" s="1037"/>
      <c r="K441" s="1037"/>
      <c r="L441" s="1037"/>
      <c r="M441" s="1037"/>
      <c r="N441" s="1037"/>
      <c r="O441" s="1037"/>
      <c r="P441" s="1037"/>
      <c r="Q441" s="1037"/>
      <c r="R441" s="1037"/>
      <c r="S441" s="1037"/>
      <c r="T441" s="1037"/>
      <c r="U441" s="1037"/>
      <c r="V441" s="1037"/>
      <c r="W441" s="1037"/>
      <c r="X441" s="1037"/>
      <c r="Y441" s="1037"/>
      <c r="Z441" s="1037"/>
      <c r="AA441" s="1037"/>
      <c r="AB441" s="1037"/>
      <c r="AC441" s="1037"/>
      <c r="AD441" s="1037"/>
      <c r="AE441" s="1037"/>
      <c r="AF441" s="1037"/>
      <c r="AG441" s="1037"/>
      <c r="AH441" s="1037"/>
      <c r="AI441" s="1037"/>
      <c r="AJ441" s="1037"/>
      <c r="AK441" s="1037"/>
      <c r="AL441" s="1037"/>
      <c r="AM441" s="1037"/>
      <c r="AN441" s="1037"/>
      <c r="AO441" s="1037"/>
      <c r="AP441" s="1037"/>
    </row>
    <row r="442" spans="1:42" s="226" customFormat="1">
      <c r="A442" s="2060"/>
      <c r="B442" s="1037"/>
      <c r="C442" s="1037"/>
      <c r="D442" s="1037"/>
      <c r="E442" s="1037"/>
      <c r="F442" s="1037"/>
      <c r="G442" s="1037"/>
      <c r="H442" s="1018"/>
      <c r="I442" s="1037"/>
      <c r="J442" s="1037"/>
      <c r="K442" s="1037"/>
      <c r="L442" s="1037"/>
      <c r="M442" s="1037"/>
      <c r="N442" s="1037"/>
      <c r="O442" s="1037"/>
      <c r="P442" s="1037"/>
      <c r="Q442" s="1037"/>
      <c r="R442" s="1037"/>
      <c r="S442" s="1037"/>
      <c r="T442" s="1037"/>
      <c r="U442" s="1037"/>
      <c r="V442" s="1037"/>
      <c r="W442" s="1037"/>
      <c r="X442" s="1037"/>
      <c r="Y442" s="1037"/>
      <c r="Z442" s="1037"/>
      <c r="AA442" s="1037"/>
      <c r="AB442" s="1037"/>
      <c r="AC442" s="1037"/>
      <c r="AD442" s="1037"/>
      <c r="AE442" s="1037"/>
      <c r="AF442" s="1037"/>
      <c r="AG442" s="1037"/>
      <c r="AH442" s="1037"/>
      <c r="AI442" s="1037"/>
      <c r="AJ442" s="1037"/>
      <c r="AK442" s="1037"/>
      <c r="AL442" s="1037"/>
      <c r="AM442" s="1037"/>
      <c r="AN442" s="1037"/>
      <c r="AO442" s="1037"/>
      <c r="AP442" s="1037"/>
    </row>
    <row r="443" spans="1:42" s="226" customFormat="1">
      <c r="A443" s="2060"/>
      <c r="B443" s="1037"/>
      <c r="C443" s="1037"/>
      <c r="D443" s="1037"/>
      <c r="E443" s="1037"/>
      <c r="F443" s="1037"/>
      <c r="G443" s="1037"/>
      <c r="H443" s="1018"/>
      <c r="I443" s="1037"/>
      <c r="J443" s="1037"/>
      <c r="K443" s="1037"/>
      <c r="L443" s="1037"/>
      <c r="M443" s="1037"/>
      <c r="N443" s="1037"/>
      <c r="O443" s="1037"/>
      <c r="P443" s="1037"/>
      <c r="Q443" s="1037"/>
      <c r="R443" s="1037"/>
      <c r="S443" s="1037"/>
      <c r="T443" s="1037"/>
      <c r="U443" s="1037"/>
      <c r="V443" s="1037"/>
      <c r="W443" s="1037"/>
      <c r="X443" s="1037"/>
      <c r="Y443" s="1037"/>
      <c r="Z443" s="1037"/>
      <c r="AA443" s="1037"/>
      <c r="AB443" s="1037"/>
      <c r="AC443" s="1037"/>
      <c r="AD443" s="1037"/>
      <c r="AE443" s="1037"/>
      <c r="AF443" s="1037"/>
      <c r="AG443" s="1037"/>
      <c r="AH443" s="1037"/>
      <c r="AI443" s="1037"/>
      <c r="AJ443" s="1037"/>
      <c r="AK443" s="1037"/>
      <c r="AL443" s="1037"/>
      <c r="AM443" s="1037"/>
      <c r="AN443" s="1037"/>
      <c r="AO443" s="1037"/>
      <c r="AP443" s="1037"/>
    </row>
    <row r="444" spans="1:42" s="226" customFormat="1">
      <c r="A444" s="2060"/>
      <c r="B444" s="1037"/>
      <c r="C444" s="1037"/>
      <c r="D444" s="1037"/>
      <c r="E444" s="1037"/>
      <c r="F444" s="1037"/>
      <c r="G444" s="1037"/>
      <c r="H444" s="1018"/>
      <c r="I444" s="1037"/>
      <c r="J444" s="1037"/>
      <c r="K444" s="1037"/>
      <c r="L444" s="1037"/>
      <c r="M444" s="1037"/>
      <c r="N444" s="1037"/>
      <c r="O444" s="1037"/>
      <c r="P444" s="1037"/>
      <c r="Q444" s="1037"/>
      <c r="R444" s="1037"/>
      <c r="S444" s="1037"/>
      <c r="T444" s="1037"/>
      <c r="U444" s="1037"/>
      <c r="V444" s="1037"/>
      <c r="W444" s="1037"/>
      <c r="X444" s="1037"/>
      <c r="Y444" s="1037"/>
      <c r="Z444" s="1037"/>
      <c r="AA444" s="1037"/>
      <c r="AB444" s="1037"/>
      <c r="AC444" s="1037"/>
      <c r="AD444" s="1037"/>
      <c r="AE444" s="1037"/>
      <c r="AF444" s="1037"/>
      <c r="AG444" s="1037"/>
      <c r="AH444" s="1037"/>
      <c r="AI444" s="1037"/>
      <c r="AJ444" s="1037"/>
      <c r="AK444" s="1037"/>
      <c r="AL444" s="1037"/>
      <c r="AM444" s="1037"/>
      <c r="AN444" s="1037"/>
      <c r="AO444" s="1037"/>
      <c r="AP444" s="1037"/>
    </row>
    <row r="445" spans="1:42" s="226" customFormat="1">
      <c r="A445" s="2060"/>
      <c r="B445" s="1037"/>
      <c r="C445" s="1037"/>
      <c r="D445" s="1037"/>
      <c r="E445" s="1037"/>
      <c r="F445" s="1037"/>
      <c r="G445" s="1037"/>
      <c r="H445" s="1018"/>
      <c r="I445" s="1037"/>
      <c r="J445" s="1037"/>
      <c r="K445" s="1037"/>
      <c r="L445" s="1037"/>
      <c r="M445" s="1037"/>
      <c r="N445" s="1037"/>
      <c r="O445" s="1037"/>
      <c r="P445" s="1037"/>
      <c r="Q445" s="1037"/>
      <c r="R445" s="1037"/>
      <c r="S445" s="1037"/>
      <c r="T445" s="1037"/>
      <c r="U445" s="1037"/>
      <c r="V445" s="1037"/>
      <c r="W445" s="1037"/>
      <c r="X445" s="1037"/>
      <c r="Y445" s="1037"/>
      <c r="Z445" s="1037"/>
      <c r="AA445" s="1037"/>
      <c r="AB445" s="1037"/>
      <c r="AC445" s="1037"/>
      <c r="AD445" s="1037"/>
      <c r="AE445" s="1037"/>
      <c r="AF445" s="1037"/>
      <c r="AG445" s="1037"/>
      <c r="AH445" s="1037"/>
      <c r="AI445" s="1037"/>
      <c r="AJ445" s="1037"/>
      <c r="AK445" s="1037"/>
      <c r="AL445" s="1037"/>
      <c r="AM445" s="1037"/>
      <c r="AN445" s="1037"/>
      <c r="AO445" s="1037"/>
      <c r="AP445" s="1037"/>
    </row>
    <row r="446" spans="1:42" s="226" customFormat="1">
      <c r="A446" s="2060"/>
      <c r="B446" s="1037"/>
      <c r="C446" s="1037"/>
      <c r="D446" s="1037"/>
      <c r="E446" s="1037"/>
      <c r="F446" s="1037"/>
      <c r="G446" s="1037"/>
      <c r="H446" s="1018"/>
      <c r="I446" s="1037"/>
      <c r="J446" s="1037"/>
      <c r="K446" s="1037"/>
      <c r="L446" s="1037"/>
      <c r="M446" s="1037"/>
      <c r="N446" s="1037"/>
      <c r="O446" s="1037"/>
      <c r="P446" s="1037"/>
      <c r="Q446" s="1037"/>
      <c r="R446" s="1037"/>
      <c r="S446" s="1037"/>
      <c r="T446" s="1037"/>
      <c r="U446" s="1037"/>
      <c r="V446" s="1037"/>
      <c r="W446" s="1037"/>
      <c r="X446" s="1037"/>
      <c r="Y446" s="1037"/>
      <c r="Z446" s="1037"/>
      <c r="AA446" s="1037"/>
      <c r="AB446" s="1037"/>
      <c r="AC446" s="1037"/>
      <c r="AD446" s="1037"/>
      <c r="AE446" s="1037"/>
      <c r="AF446" s="1037"/>
      <c r="AG446" s="1037"/>
      <c r="AH446" s="1037"/>
      <c r="AI446" s="1037"/>
      <c r="AJ446" s="1037"/>
      <c r="AK446" s="1037"/>
      <c r="AL446" s="1037"/>
      <c r="AM446" s="1037"/>
      <c r="AN446" s="1037"/>
      <c r="AO446" s="1037"/>
      <c r="AP446" s="1037"/>
    </row>
    <row r="447" spans="1:42" s="226" customFormat="1">
      <c r="A447" s="2060"/>
      <c r="B447" s="1037"/>
      <c r="C447" s="1037"/>
      <c r="D447" s="1037"/>
      <c r="E447" s="1037"/>
      <c r="F447" s="1037"/>
      <c r="G447" s="1037"/>
      <c r="H447" s="1018"/>
      <c r="I447" s="1037"/>
      <c r="J447" s="1037"/>
      <c r="K447" s="1037"/>
      <c r="L447" s="1037"/>
      <c r="M447" s="1037"/>
      <c r="N447" s="1037"/>
      <c r="O447" s="1037"/>
      <c r="P447" s="1037"/>
      <c r="Q447" s="1037"/>
      <c r="R447" s="1037"/>
      <c r="S447" s="1037"/>
      <c r="T447" s="1037"/>
      <c r="U447" s="1037"/>
      <c r="V447" s="1037"/>
      <c r="W447" s="1037"/>
      <c r="X447" s="1037"/>
      <c r="Y447" s="1037"/>
      <c r="Z447" s="1037"/>
      <c r="AA447" s="1037"/>
      <c r="AB447" s="1037"/>
      <c r="AC447" s="1037"/>
      <c r="AD447" s="1037"/>
      <c r="AE447" s="1037"/>
      <c r="AF447" s="1037"/>
      <c r="AG447" s="1037"/>
      <c r="AH447" s="1037"/>
      <c r="AI447" s="1037"/>
      <c r="AJ447" s="1037"/>
      <c r="AK447" s="1037"/>
      <c r="AL447" s="1037"/>
      <c r="AM447" s="1037"/>
      <c r="AN447" s="1037"/>
      <c r="AO447" s="1037"/>
      <c r="AP447" s="1037"/>
    </row>
    <row r="448" spans="1:42" s="226" customFormat="1">
      <c r="A448" s="2060"/>
      <c r="B448" s="1037"/>
      <c r="C448" s="1037"/>
      <c r="D448" s="1037"/>
      <c r="E448" s="1037"/>
      <c r="F448" s="1037"/>
      <c r="G448" s="1037"/>
      <c r="H448" s="1018"/>
      <c r="I448" s="1037"/>
      <c r="J448" s="1037"/>
      <c r="K448" s="1037"/>
      <c r="L448" s="1037"/>
      <c r="M448" s="1037"/>
      <c r="N448" s="1037"/>
      <c r="O448" s="1037"/>
      <c r="P448" s="1037"/>
      <c r="Q448" s="1037"/>
      <c r="R448" s="1037"/>
      <c r="S448" s="1037"/>
      <c r="T448" s="1037"/>
      <c r="U448" s="1037"/>
      <c r="V448" s="1037"/>
      <c r="W448" s="1037"/>
      <c r="X448" s="1037"/>
      <c r="Y448" s="1037"/>
      <c r="Z448" s="1037"/>
      <c r="AA448" s="1037"/>
      <c r="AB448" s="1037"/>
      <c r="AC448" s="1037"/>
      <c r="AD448" s="1037"/>
      <c r="AE448" s="1037"/>
      <c r="AF448" s="1037"/>
      <c r="AG448" s="1037"/>
      <c r="AH448" s="1037"/>
      <c r="AI448" s="1037"/>
      <c r="AJ448" s="1037"/>
      <c r="AK448" s="1037"/>
      <c r="AL448" s="1037"/>
      <c r="AM448" s="1037"/>
      <c r="AN448" s="1037"/>
      <c r="AO448" s="1037"/>
      <c r="AP448" s="1037"/>
    </row>
    <row r="449" spans="1:42" s="226" customFormat="1">
      <c r="A449" s="2060"/>
      <c r="B449" s="1037"/>
      <c r="C449" s="1037"/>
      <c r="D449" s="1037"/>
      <c r="E449" s="1037"/>
      <c r="F449" s="1037"/>
      <c r="G449" s="1037"/>
      <c r="H449" s="1018"/>
      <c r="I449" s="1037"/>
      <c r="J449" s="1037"/>
      <c r="K449" s="1037"/>
      <c r="L449" s="1037"/>
      <c r="M449" s="1037"/>
      <c r="N449" s="1037"/>
      <c r="O449" s="1037"/>
      <c r="P449" s="1037"/>
      <c r="Q449" s="1037"/>
      <c r="R449" s="1037"/>
      <c r="S449" s="1037"/>
      <c r="T449" s="1037"/>
      <c r="U449" s="1037"/>
      <c r="V449" s="1037"/>
      <c r="W449" s="1037"/>
      <c r="X449" s="1037"/>
      <c r="Y449" s="1037"/>
      <c r="Z449" s="1037"/>
      <c r="AA449" s="1037"/>
      <c r="AB449" s="1037"/>
      <c r="AC449" s="1037"/>
      <c r="AD449" s="1037"/>
      <c r="AE449" s="1037"/>
      <c r="AF449" s="1037"/>
      <c r="AG449" s="1037"/>
      <c r="AH449" s="1037"/>
      <c r="AI449" s="1037"/>
      <c r="AJ449" s="1037"/>
      <c r="AK449" s="1037"/>
      <c r="AL449" s="1037"/>
      <c r="AM449" s="1037"/>
      <c r="AN449" s="1037"/>
      <c r="AO449" s="1037"/>
      <c r="AP449" s="1037"/>
    </row>
    <row r="450" spans="1:42" s="226" customFormat="1">
      <c r="A450" s="2060"/>
      <c r="B450" s="1037"/>
      <c r="C450" s="1037"/>
      <c r="D450" s="1037"/>
      <c r="E450" s="1037"/>
      <c r="F450" s="1037"/>
      <c r="G450" s="1037"/>
      <c r="H450" s="1018"/>
      <c r="I450" s="1037"/>
      <c r="J450" s="1037"/>
      <c r="K450" s="1037"/>
      <c r="L450" s="1037"/>
      <c r="M450" s="1037"/>
      <c r="N450" s="1037"/>
      <c r="O450" s="1037"/>
      <c r="P450" s="1037"/>
      <c r="Q450" s="1037"/>
      <c r="R450" s="1037"/>
      <c r="S450" s="1037"/>
      <c r="T450" s="1037"/>
      <c r="U450" s="1037"/>
      <c r="V450" s="1037"/>
      <c r="W450" s="1037"/>
      <c r="X450" s="1037"/>
      <c r="Y450" s="1037"/>
      <c r="Z450" s="1037"/>
      <c r="AA450" s="1037"/>
      <c r="AB450" s="1037"/>
      <c r="AC450" s="1037"/>
      <c r="AD450" s="1037"/>
      <c r="AE450" s="1037"/>
      <c r="AF450" s="1037"/>
      <c r="AG450" s="1037"/>
      <c r="AH450" s="1037"/>
      <c r="AI450" s="1037"/>
      <c r="AJ450" s="1037"/>
      <c r="AK450" s="1037"/>
      <c r="AL450" s="1037"/>
      <c r="AM450" s="1037"/>
      <c r="AN450" s="1037"/>
      <c r="AO450" s="1037"/>
      <c r="AP450" s="1037"/>
    </row>
    <row r="451" spans="1:42" s="226" customFormat="1">
      <c r="A451" s="2060"/>
      <c r="B451" s="1037"/>
      <c r="C451" s="1037"/>
      <c r="D451" s="1037"/>
      <c r="E451" s="1037"/>
      <c r="F451" s="1037"/>
      <c r="G451" s="1037"/>
      <c r="H451" s="1018"/>
      <c r="I451" s="1037"/>
      <c r="J451" s="1037"/>
      <c r="K451" s="1037"/>
      <c r="L451" s="1037"/>
      <c r="M451" s="1037"/>
      <c r="N451" s="1037"/>
      <c r="O451" s="1037"/>
      <c r="P451" s="1037"/>
      <c r="Q451" s="1037"/>
      <c r="R451" s="1037"/>
      <c r="S451" s="1037"/>
      <c r="T451" s="1037"/>
      <c r="U451" s="1037"/>
      <c r="V451" s="1037"/>
      <c r="W451" s="1037"/>
      <c r="X451" s="1037"/>
      <c r="Y451" s="1037"/>
      <c r="Z451" s="1037"/>
      <c r="AA451" s="1037"/>
      <c r="AB451" s="1037"/>
      <c r="AC451" s="1037"/>
      <c r="AD451" s="1037"/>
      <c r="AE451" s="1037"/>
      <c r="AF451" s="1037"/>
      <c r="AG451" s="1037"/>
      <c r="AH451" s="1037"/>
      <c r="AI451" s="1037"/>
      <c r="AJ451" s="1037"/>
      <c r="AK451" s="1037"/>
      <c r="AL451" s="1037"/>
      <c r="AM451" s="1037"/>
      <c r="AN451" s="1037"/>
      <c r="AO451" s="1037"/>
      <c r="AP451" s="1037"/>
    </row>
    <row r="452" spans="1:42" s="226" customFormat="1">
      <c r="A452" s="2060"/>
      <c r="B452" s="1037"/>
      <c r="C452" s="1037"/>
      <c r="D452" s="1037"/>
      <c r="E452" s="1037"/>
      <c r="F452" s="1037"/>
      <c r="G452" s="1037"/>
      <c r="H452" s="1018"/>
      <c r="I452" s="1037"/>
      <c r="J452" s="1037"/>
      <c r="K452" s="1037"/>
      <c r="L452" s="1037"/>
      <c r="M452" s="1037"/>
      <c r="N452" s="1037"/>
      <c r="O452" s="1037"/>
      <c r="P452" s="1037"/>
      <c r="Q452" s="1037"/>
      <c r="R452" s="1037"/>
      <c r="S452" s="1037"/>
      <c r="T452" s="1037"/>
      <c r="U452" s="1037"/>
      <c r="V452" s="1037"/>
      <c r="W452" s="1037"/>
      <c r="X452" s="1037"/>
      <c r="Y452" s="1037"/>
      <c r="Z452" s="1037"/>
      <c r="AA452" s="1037"/>
      <c r="AB452" s="1037"/>
      <c r="AC452" s="1037"/>
      <c r="AD452" s="1037"/>
      <c r="AE452" s="1037"/>
      <c r="AF452" s="1037"/>
      <c r="AG452" s="1037"/>
      <c r="AH452" s="1037"/>
      <c r="AI452" s="1037"/>
      <c r="AJ452" s="1037"/>
      <c r="AK452" s="1037"/>
      <c r="AL452" s="1037"/>
      <c r="AM452" s="1037"/>
      <c r="AN452" s="1037"/>
      <c r="AO452" s="1037"/>
      <c r="AP452" s="1037"/>
    </row>
    <row r="453" spans="1:42" s="226" customFormat="1">
      <c r="A453" s="2060"/>
      <c r="B453" s="1037"/>
      <c r="C453" s="1037"/>
      <c r="D453" s="1037"/>
      <c r="E453" s="1037"/>
      <c r="F453" s="1037"/>
      <c r="G453" s="1037"/>
      <c r="H453" s="1018"/>
      <c r="I453" s="1037"/>
      <c r="J453" s="1037"/>
      <c r="K453" s="1037"/>
      <c r="L453" s="1037"/>
      <c r="M453" s="1037"/>
      <c r="N453" s="1037"/>
      <c r="O453" s="1037"/>
      <c r="P453" s="1037"/>
      <c r="Q453" s="1037"/>
      <c r="R453" s="1037"/>
      <c r="S453" s="1037"/>
      <c r="T453" s="1037"/>
      <c r="U453" s="1037"/>
      <c r="V453" s="1037"/>
      <c r="W453" s="1037"/>
      <c r="X453" s="1037"/>
      <c r="Y453" s="1037"/>
      <c r="Z453" s="1037"/>
      <c r="AA453" s="1037"/>
      <c r="AB453" s="1037"/>
      <c r="AC453" s="1037"/>
      <c r="AD453" s="1037"/>
      <c r="AE453" s="1037"/>
      <c r="AF453" s="1037"/>
      <c r="AG453" s="1037"/>
      <c r="AH453" s="1037"/>
      <c r="AI453" s="1037"/>
      <c r="AJ453" s="1037"/>
      <c r="AK453" s="1037"/>
      <c r="AL453" s="1037"/>
      <c r="AM453" s="1037"/>
      <c r="AN453" s="1037"/>
      <c r="AO453" s="1037"/>
      <c r="AP453" s="1037"/>
    </row>
    <row r="454" spans="1:42" s="226" customFormat="1">
      <c r="A454" s="2060"/>
      <c r="B454" s="1037"/>
      <c r="C454" s="1037"/>
      <c r="D454" s="1037"/>
      <c r="E454" s="1037"/>
      <c r="F454" s="1037"/>
      <c r="G454" s="1037"/>
      <c r="H454" s="1018"/>
      <c r="I454" s="1037"/>
      <c r="J454" s="1037"/>
      <c r="K454" s="1037"/>
      <c r="L454" s="1037"/>
      <c r="M454" s="1037"/>
      <c r="N454" s="1037"/>
      <c r="O454" s="1037"/>
      <c r="P454" s="1037"/>
      <c r="Q454" s="1037"/>
      <c r="R454" s="1037"/>
      <c r="S454" s="1037"/>
      <c r="T454" s="1037"/>
      <c r="U454" s="1037"/>
      <c r="V454" s="1037"/>
      <c r="W454" s="1037"/>
      <c r="X454" s="1037"/>
      <c r="Y454" s="1037"/>
      <c r="Z454" s="1037"/>
      <c r="AA454" s="1037"/>
      <c r="AB454" s="1037"/>
      <c r="AC454" s="1037"/>
      <c r="AD454" s="1037"/>
      <c r="AE454" s="1037"/>
      <c r="AF454" s="1037"/>
      <c r="AG454" s="1037"/>
      <c r="AH454" s="1037"/>
      <c r="AI454" s="1037"/>
      <c r="AJ454" s="1037"/>
      <c r="AK454" s="1037"/>
      <c r="AL454" s="1037"/>
      <c r="AM454" s="1037"/>
      <c r="AN454" s="1037"/>
      <c r="AO454" s="1037"/>
      <c r="AP454" s="1037"/>
    </row>
    <row r="455" spans="1:42" s="226" customFormat="1">
      <c r="A455" s="2060"/>
      <c r="B455" s="1037"/>
      <c r="C455" s="1037"/>
      <c r="D455" s="1037"/>
      <c r="E455" s="1037"/>
      <c r="F455" s="1037"/>
      <c r="G455" s="1037"/>
      <c r="H455" s="1018"/>
      <c r="I455" s="1037"/>
      <c r="J455" s="1037"/>
      <c r="K455" s="1037"/>
      <c r="L455" s="1037"/>
      <c r="M455" s="1037"/>
      <c r="N455" s="1037"/>
      <c r="O455" s="1037"/>
      <c r="P455" s="1037"/>
      <c r="Q455" s="1037"/>
      <c r="R455" s="1037"/>
      <c r="S455" s="1037"/>
      <c r="T455" s="1037"/>
      <c r="U455" s="1037"/>
      <c r="V455" s="1037"/>
      <c r="W455" s="1037"/>
      <c r="X455" s="1037"/>
      <c r="Y455" s="1037"/>
      <c r="Z455" s="1037"/>
      <c r="AA455" s="1037"/>
      <c r="AB455" s="1037"/>
      <c r="AC455" s="1037"/>
      <c r="AD455" s="1037"/>
      <c r="AE455" s="1037"/>
      <c r="AF455" s="1037"/>
      <c r="AG455" s="1037"/>
      <c r="AH455" s="1037"/>
      <c r="AI455" s="1037"/>
      <c r="AJ455" s="1037"/>
      <c r="AK455" s="1037"/>
      <c r="AL455" s="1037"/>
      <c r="AM455" s="1037"/>
      <c r="AN455" s="1037"/>
      <c r="AO455" s="1037"/>
      <c r="AP455" s="1037"/>
    </row>
    <row r="456" spans="1:42" s="226" customFormat="1">
      <c r="A456" s="2060"/>
      <c r="B456" s="1037"/>
      <c r="C456" s="1037"/>
      <c r="D456" s="1037"/>
      <c r="E456" s="1037"/>
      <c r="F456" s="1037"/>
      <c r="G456" s="1037"/>
      <c r="H456" s="1018"/>
      <c r="I456" s="1037"/>
      <c r="J456" s="1037"/>
      <c r="K456" s="1037"/>
      <c r="L456" s="1037"/>
      <c r="M456" s="1037"/>
      <c r="N456" s="1037"/>
      <c r="O456" s="1037"/>
      <c r="P456" s="1037"/>
      <c r="Q456" s="1037"/>
      <c r="R456" s="1037"/>
      <c r="S456" s="1037"/>
      <c r="T456" s="1037"/>
      <c r="U456" s="1037"/>
      <c r="V456" s="1037"/>
      <c r="W456" s="1037"/>
      <c r="X456" s="1037"/>
      <c r="Y456" s="1037"/>
      <c r="Z456" s="1037"/>
      <c r="AA456" s="1037"/>
      <c r="AB456" s="1037"/>
      <c r="AC456" s="1037"/>
      <c r="AD456" s="1037"/>
      <c r="AE456" s="1037"/>
      <c r="AF456" s="1037"/>
      <c r="AG456" s="1037"/>
      <c r="AH456" s="1037"/>
      <c r="AI456" s="1037"/>
      <c r="AJ456" s="1037"/>
      <c r="AK456" s="1037"/>
      <c r="AL456" s="1037"/>
      <c r="AM456" s="1037"/>
      <c r="AN456" s="1037"/>
      <c r="AO456" s="1037"/>
      <c r="AP456" s="1037"/>
    </row>
    <row r="457" spans="1:42" s="226" customFormat="1">
      <c r="A457" s="2060"/>
      <c r="B457" s="1037"/>
      <c r="C457" s="1037"/>
      <c r="D457" s="1037"/>
      <c r="E457" s="1037"/>
      <c r="F457" s="1037"/>
      <c r="G457" s="1037"/>
      <c r="H457" s="1018"/>
      <c r="I457" s="1037"/>
      <c r="J457" s="1037"/>
      <c r="K457" s="1037"/>
      <c r="L457" s="1037"/>
      <c r="M457" s="1037"/>
      <c r="N457" s="1037"/>
      <c r="O457" s="1037"/>
      <c r="P457" s="1037"/>
      <c r="Q457" s="1037"/>
      <c r="R457" s="1037"/>
      <c r="S457" s="1037"/>
      <c r="T457" s="1037"/>
      <c r="U457" s="1037"/>
      <c r="V457" s="1037"/>
      <c r="W457" s="1037"/>
      <c r="X457" s="1037"/>
      <c r="Y457" s="1037"/>
      <c r="Z457" s="1037"/>
      <c r="AA457" s="1037"/>
      <c r="AB457" s="1037"/>
      <c r="AC457" s="1037"/>
      <c r="AD457" s="1037"/>
      <c r="AE457" s="1037"/>
      <c r="AF457" s="1037"/>
      <c r="AG457" s="1037"/>
      <c r="AH457" s="1037"/>
      <c r="AI457" s="1037"/>
      <c r="AJ457" s="1037"/>
      <c r="AK457" s="1037"/>
      <c r="AL457" s="1037"/>
      <c r="AM457" s="1037"/>
      <c r="AN457" s="1037"/>
      <c r="AO457" s="1037"/>
      <c r="AP457" s="1037"/>
    </row>
    <row r="458" spans="1:42" s="226" customFormat="1">
      <c r="A458" s="2060"/>
      <c r="B458" s="1037"/>
      <c r="C458" s="1037"/>
      <c r="D458" s="1037"/>
      <c r="E458" s="1037"/>
      <c r="F458" s="1037"/>
      <c r="G458" s="1037"/>
      <c r="H458" s="1018"/>
      <c r="I458" s="1037"/>
      <c r="J458" s="1037"/>
      <c r="K458" s="1037"/>
      <c r="L458" s="1037"/>
      <c r="M458" s="1037"/>
      <c r="N458" s="1037"/>
      <c r="O458" s="1037"/>
      <c r="P458" s="1037"/>
      <c r="Q458" s="1037"/>
      <c r="R458" s="1037"/>
      <c r="S458" s="1037"/>
      <c r="T458" s="1037"/>
      <c r="U458" s="1037"/>
      <c r="V458" s="1037"/>
      <c r="W458" s="1037"/>
      <c r="X458" s="1037"/>
      <c r="Y458" s="1037"/>
      <c r="Z458" s="1037"/>
      <c r="AA458" s="1037"/>
      <c r="AB458" s="1037"/>
      <c r="AC458" s="1037"/>
      <c r="AD458" s="1037"/>
      <c r="AE458" s="1037"/>
      <c r="AF458" s="1037"/>
      <c r="AG458" s="1037"/>
      <c r="AH458" s="1037"/>
      <c r="AI458" s="1037"/>
      <c r="AJ458" s="1037"/>
      <c r="AK458" s="1037"/>
      <c r="AL458" s="1037"/>
      <c r="AM458" s="1037"/>
      <c r="AN458" s="1037"/>
      <c r="AO458" s="1037"/>
      <c r="AP458" s="1037"/>
    </row>
    <row r="459" spans="1:42" s="226" customFormat="1">
      <c r="A459" s="2060"/>
      <c r="B459" s="1037"/>
      <c r="C459" s="1037"/>
      <c r="D459" s="1037"/>
      <c r="E459" s="1037"/>
      <c r="F459" s="1037"/>
      <c r="G459" s="1037"/>
      <c r="H459" s="1018"/>
      <c r="I459" s="1037"/>
      <c r="J459" s="1037"/>
      <c r="K459" s="1037"/>
      <c r="L459" s="1037"/>
      <c r="M459" s="1037"/>
      <c r="N459" s="1037"/>
      <c r="O459" s="1037"/>
      <c r="P459" s="1037"/>
      <c r="Q459" s="1037"/>
      <c r="R459" s="1037"/>
      <c r="S459" s="1037"/>
      <c r="T459" s="1037"/>
      <c r="U459" s="1037"/>
      <c r="V459" s="1037"/>
      <c r="W459" s="1037"/>
      <c r="X459" s="1037"/>
      <c r="Y459" s="1037"/>
      <c r="Z459" s="1037"/>
      <c r="AA459" s="1037"/>
      <c r="AB459" s="1037"/>
      <c r="AC459" s="1037"/>
      <c r="AD459" s="1037"/>
      <c r="AE459" s="1037"/>
      <c r="AF459" s="1037"/>
      <c r="AG459" s="1037"/>
      <c r="AH459" s="1037"/>
      <c r="AI459" s="1037"/>
      <c r="AJ459" s="1037"/>
      <c r="AK459" s="1037"/>
      <c r="AL459" s="1037"/>
      <c r="AM459" s="1037"/>
      <c r="AN459" s="1037"/>
      <c r="AO459" s="1037"/>
      <c r="AP459" s="1037"/>
    </row>
    <row r="460" spans="1:42" s="226" customFormat="1">
      <c r="A460" s="2060"/>
      <c r="B460" s="1037"/>
      <c r="C460" s="1037"/>
      <c r="D460" s="1037"/>
      <c r="E460" s="1037"/>
      <c r="F460" s="1037"/>
      <c r="G460" s="1037"/>
      <c r="H460" s="1018"/>
      <c r="I460" s="1037"/>
      <c r="J460" s="1037"/>
      <c r="K460" s="1037"/>
      <c r="L460" s="1037"/>
      <c r="M460" s="1037"/>
      <c r="N460" s="1037"/>
      <c r="O460" s="1037"/>
      <c r="P460" s="1037"/>
      <c r="Q460" s="1037"/>
      <c r="R460" s="1037"/>
      <c r="S460" s="1037"/>
      <c r="T460" s="1037"/>
      <c r="U460" s="1037"/>
      <c r="V460" s="1037"/>
      <c r="W460" s="1037"/>
      <c r="X460" s="1037"/>
      <c r="Y460" s="1037"/>
      <c r="Z460" s="1037"/>
      <c r="AA460" s="1037"/>
      <c r="AB460" s="1037"/>
      <c r="AC460" s="1037"/>
      <c r="AD460" s="1037"/>
      <c r="AE460" s="1037"/>
      <c r="AF460" s="1037"/>
      <c r="AG460" s="1037"/>
      <c r="AH460" s="1037"/>
      <c r="AI460" s="1037"/>
      <c r="AJ460" s="1037"/>
      <c r="AK460" s="1037"/>
      <c r="AL460" s="1037"/>
      <c r="AM460" s="1037"/>
      <c r="AN460" s="1037"/>
      <c r="AO460" s="1037"/>
      <c r="AP460" s="1037"/>
    </row>
    <row r="461" spans="1:42" s="226" customFormat="1">
      <c r="A461" s="2060"/>
      <c r="B461" s="1037"/>
      <c r="C461" s="1037"/>
      <c r="D461" s="1037"/>
      <c r="E461" s="1037"/>
      <c r="F461" s="1037"/>
      <c r="G461" s="1037"/>
      <c r="H461" s="1018"/>
      <c r="I461" s="1037"/>
      <c r="J461" s="1037"/>
      <c r="K461" s="1037"/>
      <c r="L461" s="1037"/>
      <c r="M461" s="1037"/>
      <c r="N461" s="1037"/>
      <c r="O461" s="1037"/>
      <c r="P461" s="1037"/>
      <c r="Q461" s="1037"/>
      <c r="R461" s="1037"/>
      <c r="S461" s="1037"/>
      <c r="T461" s="1037"/>
      <c r="U461" s="1037"/>
      <c r="V461" s="1037"/>
      <c r="W461" s="1037"/>
      <c r="X461" s="1037"/>
      <c r="Y461" s="1037"/>
      <c r="Z461" s="1037"/>
      <c r="AA461" s="1037"/>
      <c r="AB461" s="1037"/>
      <c r="AC461" s="1037"/>
      <c r="AD461" s="1037"/>
      <c r="AE461" s="1037"/>
      <c r="AF461" s="1037"/>
      <c r="AG461" s="1037"/>
      <c r="AH461" s="1037"/>
      <c r="AI461" s="1037"/>
      <c r="AJ461" s="1037"/>
      <c r="AK461" s="1037"/>
      <c r="AL461" s="1037"/>
      <c r="AM461" s="1037"/>
      <c r="AN461" s="1037"/>
      <c r="AO461" s="1037"/>
      <c r="AP461" s="1037"/>
    </row>
    <row r="462" spans="1:42" s="226" customFormat="1">
      <c r="A462" s="2060"/>
      <c r="B462" s="1037"/>
      <c r="C462" s="1037"/>
      <c r="D462" s="1037"/>
      <c r="E462" s="1037"/>
      <c r="F462" s="1037"/>
      <c r="G462" s="1037"/>
      <c r="H462" s="1018"/>
      <c r="I462" s="1037"/>
      <c r="J462" s="1037"/>
      <c r="K462" s="1037"/>
      <c r="L462" s="1037"/>
      <c r="M462" s="1037"/>
      <c r="N462" s="1037"/>
      <c r="O462" s="1037"/>
      <c r="P462" s="1037"/>
      <c r="Q462" s="1037"/>
      <c r="R462" s="1037"/>
      <c r="S462" s="1037"/>
      <c r="T462" s="1037"/>
      <c r="U462" s="1037"/>
      <c r="V462" s="1037"/>
      <c r="W462" s="1037"/>
      <c r="X462" s="1037"/>
      <c r="Y462" s="1037"/>
      <c r="Z462" s="1037"/>
      <c r="AA462" s="1037"/>
      <c r="AB462" s="1037"/>
      <c r="AC462" s="1037"/>
      <c r="AD462" s="1037"/>
      <c r="AE462" s="1037"/>
      <c r="AF462" s="1037"/>
      <c r="AG462" s="1037"/>
      <c r="AH462" s="1037"/>
      <c r="AI462" s="1037"/>
      <c r="AJ462" s="1037"/>
      <c r="AK462" s="1037"/>
      <c r="AL462" s="1037"/>
      <c r="AM462" s="1037"/>
      <c r="AN462" s="1037"/>
      <c r="AO462" s="1037"/>
      <c r="AP462" s="1037"/>
    </row>
    <row r="463" spans="1:42" s="226" customFormat="1">
      <c r="A463" s="2060"/>
      <c r="B463" s="1037"/>
      <c r="C463" s="1037"/>
      <c r="D463" s="1037"/>
      <c r="E463" s="1037"/>
      <c r="F463" s="1037"/>
      <c r="G463" s="1037"/>
      <c r="H463" s="1018"/>
      <c r="I463" s="1037"/>
      <c r="J463" s="1037"/>
      <c r="K463" s="1037"/>
      <c r="L463" s="1037"/>
      <c r="M463" s="1037"/>
      <c r="N463" s="1037"/>
      <c r="O463" s="1037"/>
      <c r="P463" s="1037"/>
      <c r="Q463" s="1037"/>
      <c r="R463" s="1037"/>
      <c r="S463" s="1037"/>
      <c r="T463" s="1037"/>
      <c r="U463" s="1037"/>
      <c r="V463" s="1037"/>
      <c r="W463" s="1037"/>
      <c r="X463" s="1037"/>
      <c r="Y463" s="1037"/>
      <c r="Z463" s="1037"/>
      <c r="AA463" s="1037"/>
      <c r="AB463" s="1037"/>
      <c r="AC463" s="1037"/>
      <c r="AD463" s="1037"/>
      <c r="AE463" s="1037"/>
      <c r="AF463" s="1037"/>
      <c r="AG463" s="1037"/>
      <c r="AH463" s="1037"/>
      <c r="AI463" s="1037"/>
      <c r="AJ463" s="1037"/>
      <c r="AK463" s="1037"/>
      <c r="AL463" s="1037"/>
      <c r="AM463" s="1037"/>
      <c r="AN463" s="1037"/>
      <c r="AO463" s="1037"/>
      <c r="AP463" s="1037"/>
    </row>
    <row r="464" spans="1:42" s="226" customFormat="1">
      <c r="A464" s="2060"/>
      <c r="B464" s="1037"/>
      <c r="C464" s="1037"/>
      <c r="D464" s="1037"/>
      <c r="E464" s="1037"/>
      <c r="F464" s="1037"/>
      <c r="G464" s="1037"/>
      <c r="H464" s="1018"/>
      <c r="I464" s="1037"/>
      <c r="J464" s="1037"/>
      <c r="K464" s="1037"/>
      <c r="L464" s="1037"/>
      <c r="M464" s="1037"/>
      <c r="N464" s="1037"/>
      <c r="O464" s="1037"/>
      <c r="P464" s="1037"/>
      <c r="Q464" s="1037"/>
      <c r="R464" s="1037"/>
      <c r="S464" s="1037"/>
      <c r="T464" s="1037"/>
      <c r="U464" s="1037"/>
      <c r="V464" s="1037"/>
      <c r="W464" s="1037"/>
      <c r="X464" s="1037"/>
      <c r="Y464" s="1037"/>
      <c r="Z464" s="1037"/>
      <c r="AA464" s="1037"/>
      <c r="AB464" s="1037"/>
      <c r="AC464" s="1037"/>
      <c r="AD464" s="1037"/>
      <c r="AE464" s="1037"/>
      <c r="AF464" s="1037"/>
      <c r="AG464" s="1037"/>
      <c r="AH464" s="1037"/>
      <c r="AI464" s="1037"/>
      <c r="AJ464" s="1037"/>
      <c r="AK464" s="1037"/>
      <c r="AL464" s="1037"/>
      <c r="AM464" s="1037"/>
      <c r="AN464" s="1037"/>
      <c r="AO464" s="1037"/>
      <c r="AP464" s="1037"/>
    </row>
    <row r="465" spans="1:42" s="226" customFormat="1">
      <c r="A465" s="2060"/>
      <c r="B465" s="1037"/>
      <c r="C465" s="1037"/>
      <c r="D465" s="1037"/>
      <c r="E465" s="1037"/>
      <c r="F465" s="1037"/>
      <c r="G465" s="1037"/>
      <c r="H465" s="1018"/>
      <c r="I465" s="1037"/>
      <c r="J465" s="1037"/>
      <c r="K465" s="1037"/>
      <c r="L465" s="1037"/>
      <c r="M465" s="1037"/>
      <c r="N465" s="1037"/>
      <c r="O465" s="1037"/>
      <c r="P465" s="1037"/>
      <c r="Q465" s="1037"/>
      <c r="R465" s="1037"/>
      <c r="S465" s="1037"/>
      <c r="T465" s="1037"/>
      <c r="U465" s="1037"/>
      <c r="V465" s="1037"/>
      <c r="W465" s="1037"/>
      <c r="X465" s="1037"/>
      <c r="Y465" s="1037"/>
      <c r="Z465" s="1037"/>
      <c r="AA465" s="1037"/>
      <c r="AB465" s="1037"/>
      <c r="AC465" s="1037"/>
      <c r="AD465" s="1037"/>
      <c r="AE465" s="1037"/>
      <c r="AF465" s="1037"/>
      <c r="AG465" s="1037"/>
      <c r="AH465" s="1037"/>
      <c r="AI465" s="1037"/>
      <c r="AJ465" s="1037"/>
      <c r="AK465" s="1037"/>
      <c r="AL465" s="1037"/>
      <c r="AM465" s="1037"/>
      <c r="AN465" s="1037"/>
      <c r="AO465" s="1037"/>
      <c r="AP465" s="1037"/>
    </row>
    <row r="466" spans="1:42" s="226" customFormat="1">
      <c r="A466" s="2060"/>
      <c r="B466" s="1037"/>
      <c r="C466" s="1037"/>
      <c r="D466" s="1037"/>
      <c r="E466" s="1037"/>
      <c r="F466" s="1037"/>
      <c r="G466" s="1037"/>
      <c r="H466" s="1018"/>
      <c r="I466" s="1037"/>
      <c r="J466" s="1037"/>
      <c r="K466" s="1037"/>
      <c r="L466" s="1037"/>
      <c r="M466" s="1037"/>
      <c r="N466" s="1037"/>
      <c r="O466" s="1037"/>
      <c r="P466" s="1037"/>
      <c r="Q466" s="1037"/>
      <c r="R466" s="1037"/>
      <c r="S466" s="1037"/>
      <c r="T466" s="1037"/>
      <c r="U466" s="1037"/>
      <c r="V466" s="1037"/>
      <c r="W466" s="1037"/>
      <c r="X466" s="1037"/>
      <c r="Y466" s="1037"/>
      <c r="Z466" s="1037"/>
      <c r="AA466" s="1037"/>
      <c r="AB466" s="1037"/>
      <c r="AC466" s="1037"/>
      <c r="AD466" s="1037"/>
      <c r="AE466" s="1037"/>
      <c r="AF466" s="1037"/>
      <c r="AG466" s="1037"/>
      <c r="AH466" s="1037"/>
      <c r="AI466" s="1037"/>
      <c r="AJ466" s="1037"/>
      <c r="AK466" s="1037"/>
      <c r="AL466" s="1037"/>
      <c r="AM466" s="1037"/>
      <c r="AN466" s="1037"/>
      <c r="AO466" s="1037"/>
      <c r="AP466" s="1037"/>
    </row>
    <row r="467" spans="1:42" s="226" customFormat="1">
      <c r="A467" s="2060"/>
      <c r="B467" s="1037"/>
      <c r="C467" s="1037"/>
      <c r="D467" s="1037"/>
      <c r="E467" s="1037"/>
      <c r="F467" s="1037"/>
      <c r="G467" s="1037"/>
      <c r="H467" s="1018"/>
      <c r="I467" s="1037"/>
      <c r="J467" s="1037"/>
      <c r="K467" s="1037"/>
      <c r="L467" s="1037"/>
      <c r="M467" s="1037"/>
      <c r="N467" s="1037"/>
      <c r="O467" s="1037"/>
      <c r="P467" s="1037"/>
      <c r="Q467" s="1037"/>
      <c r="R467" s="1037"/>
      <c r="S467" s="1037"/>
      <c r="T467" s="1037"/>
      <c r="U467" s="1037"/>
      <c r="V467" s="1037"/>
      <c r="W467" s="1037"/>
      <c r="X467" s="1037"/>
      <c r="Y467" s="1037"/>
      <c r="Z467" s="1037"/>
      <c r="AA467" s="1037"/>
      <c r="AB467" s="1037"/>
      <c r="AC467" s="1037"/>
      <c r="AD467" s="1037"/>
      <c r="AE467" s="1037"/>
      <c r="AF467" s="1037"/>
      <c r="AG467" s="1037"/>
      <c r="AH467" s="1037"/>
      <c r="AI467" s="1037"/>
      <c r="AJ467" s="1037"/>
      <c r="AK467" s="1037"/>
      <c r="AL467" s="1037"/>
      <c r="AM467" s="1037"/>
      <c r="AN467" s="1037"/>
      <c r="AO467" s="1037"/>
      <c r="AP467" s="1037"/>
    </row>
    <row r="468" spans="1:42" s="226" customFormat="1">
      <c r="A468" s="2060"/>
      <c r="B468" s="1037"/>
      <c r="C468" s="1037"/>
      <c r="D468" s="1037"/>
      <c r="E468" s="1037"/>
      <c r="F468" s="1037"/>
      <c r="G468" s="1037"/>
      <c r="H468" s="1018"/>
      <c r="I468" s="1037"/>
      <c r="J468" s="1037"/>
      <c r="K468" s="1037"/>
      <c r="L468" s="1037"/>
      <c r="M468" s="1037"/>
      <c r="N468" s="1037"/>
      <c r="O468" s="1037"/>
      <c r="P468" s="1037"/>
      <c r="Q468" s="1037"/>
      <c r="R468" s="1037"/>
      <c r="S468" s="1037"/>
      <c r="T468" s="1037"/>
      <c r="U468" s="1037"/>
      <c r="V468" s="1037"/>
      <c r="W468" s="1037"/>
      <c r="X468" s="1037"/>
      <c r="Y468" s="1037"/>
      <c r="Z468" s="1037"/>
      <c r="AA468" s="1037"/>
      <c r="AB468" s="1037"/>
      <c r="AC468" s="1037"/>
      <c r="AD468" s="1037"/>
      <c r="AE468" s="1037"/>
      <c r="AF468" s="1037"/>
      <c r="AG468" s="1037"/>
      <c r="AH468" s="1037"/>
      <c r="AI468" s="1037"/>
      <c r="AJ468" s="1037"/>
      <c r="AK468" s="1037"/>
      <c r="AL468" s="1037"/>
      <c r="AM468" s="1037"/>
      <c r="AN468" s="1037"/>
      <c r="AO468" s="1037"/>
      <c r="AP468" s="1037"/>
    </row>
    <row r="469" spans="1:42" s="226" customFormat="1">
      <c r="A469" s="2060"/>
      <c r="B469" s="1037"/>
      <c r="C469" s="1037"/>
      <c r="D469" s="1037"/>
      <c r="E469" s="1037"/>
      <c r="F469" s="1037"/>
      <c r="G469" s="1037"/>
      <c r="H469" s="1018"/>
      <c r="I469" s="1037"/>
      <c r="J469" s="1037"/>
      <c r="K469" s="1037"/>
      <c r="L469" s="1037"/>
      <c r="M469" s="1037"/>
      <c r="N469" s="1037"/>
      <c r="O469" s="1037"/>
      <c r="P469" s="1037"/>
      <c r="Q469" s="1037"/>
      <c r="R469" s="1037"/>
      <c r="S469" s="1037"/>
      <c r="T469" s="1037"/>
      <c r="U469" s="1037"/>
      <c r="V469" s="1037"/>
      <c r="W469" s="1037"/>
      <c r="X469" s="1037"/>
      <c r="Y469" s="1037"/>
      <c r="Z469" s="1037"/>
      <c r="AA469" s="1037"/>
      <c r="AB469" s="1037"/>
      <c r="AC469" s="1037"/>
      <c r="AD469" s="1037"/>
      <c r="AE469" s="1037"/>
      <c r="AF469" s="1037"/>
      <c r="AG469" s="1037"/>
      <c r="AH469" s="1037"/>
      <c r="AI469" s="1037"/>
      <c r="AJ469" s="1037"/>
      <c r="AK469" s="1037"/>
      <c r="AL469" s="1037"/>
      <c r="AM469" s="1037"/>
      <c r="AN469" s="1037"/>
      <c r="AO469" s="1037"/>
      <c r="AP469" s="1037"/>
    </row>
    <row r="470" spans="1:42" s="226" customFormat="1">
      <c r="A470" s="2060"/>
      <c r="B470" s="1037"/>
      <c r="C470" s="1037"/>
      <c r="D470" s="1037"/>
      <c r="E470" s="1037"/>
      <c r="F470" s="1037"/>
      <c r="G470" s="1037"/>
      <c r="H470" s="1018"/>
      <c r="I470" s="1037"/>
      <c r="J470" s="1037"/>
      <c r="K470" s="1037"/>
      <c r="L470" s="1037"/>
      <c r="M470" s="1037"/>
      <c r="N470" s="1037"/>
      <c r="O470" s="1037"/>
      <c r="P470" s="1037"/>
      <c r="Q470" s="1037"/>
      <c r="R470" s="1037"/>
      <c r="S470" s="1037"/>
      <c r="T470" s="1037"/>
      <c r="U470" s="1037"/>
      <c r="V470" s="1037"/>
      <c r="W470" s="1037"/>
      <c r="X470" s="1037"/>
      <c r="Y470" s="1037"/>
      <c r="Z470" s="1037"/>
      <c r="AA470" s="1037"/>
      <c r="AB470" s="1037"/>
      <c r="AC470" s="1037"/>
      <c r="AD470" s="1037"/>
      <c r="AE470" s="1037"/>
      <c r="AF470" s="1037"/>
      <c r="AG470" s="1037"/>
      <c r="AH470" s="1037"/>
      <c r="AI470" s="1037"/>
      <c r="AJ470" s="1037"/>
      <c r="AK470" s="1037"/>
      <c r="AL470" s="1037"/>
      <c r="AM470" s="1037"/>
      <c r="AN470" s="1037"/>
      <c r="AO470" s="1037"/>
      <c r="AP470" s="1037"/>
    </row>
    <row r="471" spans="1:42" s="226" customFormat="1">
      <c r="A471" s="2060"/>
      <c r="B471" s="1037"/>
      <c r="C471" s="1037"/>
      <c r="D471" s="1037"/>
      <c r="E471" s="1037"/>
      <c r="F471" s="1037"/>
      <c r="G471" s="1037"/>
      <c r="H471" s="1018"/>
      <c r="I471" s="1037"/>
      <c r="J471" s="1037"/>
      <c r="K471" s="1037"/>
      <c r="L471" s="1037"/>
      <c r="M471" s="1037"/>
      <c r="N471" s="1037"/>
      <c r="O471" s="1037"/>
      <c r="P471" s="1037"/>
      <c r="Q471" s="1037"/>
      <c r="R471" s="1037"/>
      <c r="S471" s="1037"/>
      <c r="T471" s="1037"/>
      <c r="U471" s="1037"/>
      <c r="V471" s="1037"/>
      <c r="W471" s="1037"/>
      <c r="X471" s="1037"/>
      <c r="Y471" s="1037"/>
      <c r="Z471" s="1037"/>
      <c r="AA471" s="1037"/>
      <c r="AB471" s="1037"/>
      <c r="AC471" s="1037"/>
      <c r="AD471" s="1037"/>
      <c r="AE471" s="1037"/>
      <c r="AF471" s="1037"/>
      <c r="AG471" s="1037"/>
      <c r="AH471" s="1037"/>
      <c r="AI471" s="1037"/>
      <c r="AJ471" s="1037"/>
      <c r="AK471" s="1037"/>
      <c r="AL471" s="1037"/>
      <c r="AM471" s="1037"/>
      <c r="AN471" s="1037"/>
      <c r="AO471" s="1037"/>
      <c r="AP471" s="1037"/>
    </row>
    <row r="472" spans="1:42" s="226" customFormat="1">
      <c r="A472" s="2060"/>
      <c r="B472" s="1037"/>
      <c r="C472" s="1037"/>
      <c r="D472" s="1037"/>
      <c r="E472" s="1037"/>
      <c r="F472" s="1037"/>
      <c r="G472" s="1037"/>
      <c r="H472" s="1018"/>
      <c r="I472" s="1037"/>
      <c r="J472" s="1037"/>
      <c r="K472" s="1037"/>
      <c r="L472" s="1037"/>
      <c r="M472" s="1037"/>
      <c r="N472" s="1037"/>
      <c r="O472" s="1037"/>
      <c r="P472" s="1037"/>
      <c r="Q472" s="1037"/>
      <c r="R472" s="1037"/>
      <c r="S472" s="1037"/>
      <c r="T472" s="1037"/>
      <c r="U472" s="1037"/>
      <c r="V472" s="1037"/>
      <c r="W472" s="1037"/>
      <c r="X472" s="1037"/>
      <c r="Y472" s="1037"/>
      <c r="Z472" s="1037"/>
      <c r="AA472" s="1037"/>
      <c r="AB472" s="1037"/>
      <c r="AC472" s="1037"/>
      <c r="AD472" s="1037"/>
      <c r="AE472" s="1037"/>
      <c r="AF472" s="1037"/>
      <c r="AG472" s="1037"/>
      <c r="AH472" s="1037"/>
      <c r="AI472" s="1037"/>
      <c r="AJ472" s="1037"/>
      <c r="AK472" s="1037"/>
      <c r="AL472" s="1037"/>
      <c r="AM472" s="1037"/>
      <c r="AN472" s="1037"/>
      <c r="AO472" s="1037"/>
      <c r="AP472" s="1037"/>
    </row>
    <row r="473" spans="1:42" s="226" customFormat="1">
      <c r="A473" s="2060"/>
      <c r="B473" s="1037"/>
      <c r="C473" s="1037"/>
      <c r="D473" s="1037"/>
      <c r="E473" s="1037"/>
      <c r="F473" s="1037"/>
      <c r="G473" s="1037"/>
      <c r="H473" s="1018"/>
      <c r="I473" s="1037"/>
      <c r="J473" s="1037"/>
      <c r="K473" s="1037"/>
      <c r="L473" s="1037"/>
      <c r="M473" s="1037"/>
      <c r="N473" s="1037"/>
      <c r="O473" s="1037"/>
      <c r="P473" s="1037"/>
      <c r="Q473" s="1037"/>
      <c r="R473" s="1037"/>
      <c r="S473" s="1037"/>
      <c r="T473" s="1037"/>
      <c r="U473" s="1037"/>
      <c r="V473" s="1037"/>
      <c r="W473" s="1037"/>
      <c r="X473" s="1037"/>
      <c r="Y473" s="1037"/>
      <c r="Z473" s="1037"/>
      <c r="AA473" s="1037"/>
      <c r="AB473" s="1037"/>
      <c r="AC473" s="1037"/>
      <c r="AD473" s="1037"/>
      <c r="AE473" s="1037"/>
      <c r="AF473" s="1037"/>
      <c r="AG473" s="1037"/>
      <c r="AH473" s="1037"/>
      <c r="AI473" s="1037"/>
      <c r="AJ473" s="1037"/>
      <c r="AK473" s="1037"/>
      <c r="AL473" s="1037"/>
      <c r="AM473" s="1037"/>
      <c r="AN473" s="1037"/>
      <c r="AO473" s="1037"/>
      <c r="AP473" s="1037"/>
    </row>
    <row r="474" spans="1:42" s="226" customFormat="1">
      <c r="A474" s="2060"/>
      <c r="B474" s="1037"/>
      <c r="C474" s="1037"/>
      <c r="D474" s="1037"/>
      <c r="E474" s="1037"/>
      <c r="F474" s="1037"/>
      <c r="G474" s="1037"/>
      <c r="H474" s="1018"/>
      <c r="I474" s="1037"/>
      <c r="J474" s="1037"/>
      <c r="K474" s="1037"/>
      <c r="L474" s="1037"/>
      <c r="M474" s="1037"/>
      <c r="N474" s="1037"/>
      <c r="O474" s="1037"/>
      <c r="P474" s="1037"/>
      <c r="Q474" s="1037"/>
      <c r="R474" s="1037"/>
      <c r="S474" s="1037"/>
      <c r="T474" s="1037"/>
      <c r="U474" s="1037"/>
      <c r="V474" s="1037"/>
      <c r="W474" s="1037"/>
      <c r="X474" s="1037"/>
      <c r="Y474" s="1037"/>
      <c r="Z474" s="1037"/>
      <c r="AA474" s="1037"/>
      <c r="AB474" s="1037"/>
      <c r="AC474" s="1037"/>
      <c r="AD474" s="1037"/>
      <c r="AE474" s="1037"/>
      <c r="AF474" s="1037"/>
      <c r="AG474" s="1037"/>
      <c r="AH474" s="1037"/>
      <c r="AI474" s="1037"/>
      <c r="AJ474" s="1037"/>
      <c r="AK474" s="1037"/>
      <c r="AL474" s="1037"/>
      <c r="AM474" s="1037"/>
      <c r="AN474" s="1037"/>
      <c r="AO474" s="1037"/>
      <c r="AP474" s="1037"/>
    </row>
    <row r="475" spans="1:42" s="226" customFormat="1">
      <c r="A475" s="2060"/>
      <c r="B475" s="1037"/>
      <c r="C475" s="1037"/>
      <c r="D475" s="1037"/>
      <c r="E475" s="1037"/>
      <c r="F475" s="1037"/>
      <c r="G475" s="1037"/>
      <c r="H475" s="1018"/>
      <c r="I475" s="1037"/>
      <c r="J475" s="1037"/>
      <c r="K475" s="1037"/>
      <c r="L475" s="1037"/>
      <c r="M475" s="1037"/>
      <c r="N475" s="1037"/>
      <c r="O475" s="1037"/>
      <c r="P475" s="1037"/>
      <c r="Q475" s="1037"/>
      <c r="R475" s="1037"/>
      <c r="S475" s="1037"/>
      <c r="T475" s="1037"/>
      <c r="U475" s="1037"/>
      <c r="V475" s="1037"/>
      <c r="W475" s="1037"/>
      <c r="X475" s="1037"/>
      <c r="Y475" s="1037"/>
      <c r="Z475" s="1037"/>
      <c r="AA475" s="1037"/>
      <c r="AB475" s="1037"/>
      <c r="AC475" s="1037"/>
      <c r="AD475" s="1037"/>
      <c r="AE475" s="1037"/>
      <c r="AF475" s="1037"/>
      <c r="AG475" s="1037"/>
      <c r="AH475" s="1037"/>
      <c r="AI475" s="1037"/>
      <c r="AJ475" s="1037"/>
      <c r="AK475" s="1037"/>
      <c r="AL475" s="1037"/>
      <c r="AM475" s="1037"/>
      <c r="AN475" s="1037"/>
      <c r="AO475" s="1037"/>
      <c r="AP475" s="1037"/>
    </row>
    <row r="476" spans="1:42" s="226" customFormat="1">
      <c r="A476" s="2060"/>
      <c r="B476" s="1037"/>
      <c r="C476" s="1037"/>
      <c r="D476" s="1037"/>
      <c r="E476" s="1037"/>
      <c r="F476" s="1037"/>
      <c r="G476" s="1037"/>
      <c r="H476" s="1018"/>
      <c r="I476" s="1037"/>
      <c r="J476" s="1037"/>
      <c r="K476" s="1037"/>
      <c r="L476" s="1037"/>
      <c r="M476" s="1037"/>
      <c r="N476" s="1037"/>
      <c r="O476" s="1037"/>
      <c r="P476" s="1037"/>
      <c r="Q476" s="1037"/>
      <c r="R476" s="1037"/>
      <c r="S476" s="1037"/>
      <c r="T476" s="1037"/>
      <c r="U476" s="1037"/>
      <c r="V476" s="1037"/>
      <c r="W476" s="1037"/>
      <c r="X476" s="1037"/>
      <c r="Y476" s="1037"/>
      <c r="Z476" s="1037"/>
      <c r="AA476" s="1037"/>
      <c r="AB476" s="1037"/>
      <c r="AC476" s="1037"/>
      <c r="AD476" s="1037"/>
      <c r="AE476" s="1037"/>
      <c r="AF476" s="1037"/>
      <c r="AG476" s="1037"/>
      <c r="AH476" s="1037"/>
      <c r="AI476" s="1037"/>
      <c r="AJ476" s="1037"/>
      <c r="AK476" s="1037"/>
      <c r="AL476" s="1037"/>
      <c r="AM476" s="1037"/>
      <c r="AN476" s="1037"/>
      <c r="AO476" s="1037"/>
      <c r="AP476" s="1037"/>
    </row>
    <row r="477" spans="1:42" s="226" customFormat="1">
      <c r="A477" s="2060"/>
      <c r="B477" s="1037"/>
      <c r="C477" s="1037"/>
      <c r="D477" s="1037"/>
      <c r="E477" s="1037"/>
      <c r="F477" s="1037"/>
      <c r="G477" s="1037"/>
      <c r="H477" s="1018"/>
      <c r="I477" s="1037"/>
      <c r="J477" s="1037"/>
      <c r="K477" s="1037"/>
      <c r="L477" s="1037"/>
      <c r="M477" s="1037"/>
      <c r="N477" s="1037"/>
      <c r="O477" s="1037"/>
      <c r="P477" s="1037"/>
      <c r="Q477" s="1037"/>
      <c r="R477" s="1037"/>
      <c r="S477" s="1037"/>
      <c r="T477" s="1037"/>
      <c r="U477" s="1037"/>
      <c r="V477" s="1037"/>
      <c r="W477" s="1037"/>
      <c r="X477" s="1037"/>
      <c r="Y477" s="1037"/>
      <c r="Z477" s="1037"/>
      <c r="AA477" s="1037"/>
      <c r="AB477" s="1037"/>
      <c r="AC477" s="1037"/>
      <c r="AD477" s="1037"/>
      <c r="AE477" s="1037"/>
      <c r="AF477" s="1037"/>
      <c r="AG477" s="1037"/>
      <c r="AH477" s="1037"/>
      <c r="AI477" s="1037"/>
      <c r="AJ477" s="1037"/>
      <c r="AK477" s="1037"/>
      <c r="AL477" s="1037"/>
      <c r="AM477" s="1037"/>
      <c r="AN477" s="1037"/>
      <c r="AO477" s="1037"/>
      <c r="AP477" s="1037"/>
    </row>
    <row r="478" spans="1:42" s="226" customFormat="1">
      <c r="A478" s="2060"/>
      <c r="B478" s="1037"/>
      <c r="C478" s="1037"/>
      <c r="D478" s="1037"/>
      <c r="E478" s="1037"/>
      <c r="F478" s="1037"/>
      <c r="G478" s="1037"/>
      <c r="H478" s="1018"/>
      <c r="I478" s="1037"/>
      <c r="J478" s="1037"/>
      <c r="K478" s="1037"/>
      <c r="L478" s="1037"/>
      <c r="M478" s="1037"/>
      <c r="N478" s="1037"/>
      <c r="O478" s="1037"/>
      <c r="P478" s="1037"/>
      <c r="Q478" s="1037"/>
      <c r="R478" s="1037"/>
      <c r="S478" s="1037"/>
      <c r="T478" s="1037"/>
      <c r="U478" s="1037"/>
      <c r="V478" s="1037"/>
      <c r="W478" s="1037"/>
      <c r="X478" s="1037"/>
      <c r="Y478" s="1037"/>
      <c r="Z478" s="1037"/>
      <c r="AA478" s="1037"/>
      <c r="AB478" s="1037"/>
      <c r="AC478" s="1037"/>
      <c r="AD478" s="1037"/>
      <c r="AE478" s="1037"/>
      <c r="AF478" s="1037"/>
      <c r="AG478" s="1037"/>
      <c r="AH478" s="1037"/>
      <c r="AI478" s="1037"/>
      <c r="AJ478" s="1037"/>
      <c r="AK478" s="1037"/>
      <c r="AL478" s="1037"/>
      <c r="AM478" s="1037"/>
      <c r="AN478" s="1037"/>
      <c r="AO478" s="1037"/>
      <c r="AP478" s="1037"/>
    </row>
    <row r="479" spans="1:42" s="226" customFormat="1">
      <c r="A479" s="2060"/>
      <c r="B479" s="1037"/>
      <c r="C479" s="1037"/>
      <c r="D479" s="1037"/>
      <c r="E479" s="1037"/>
      <c r="F479" s="1037"/>
      <c r="G479" s="1037"/>
      <c r="H479" s="1018"/>
      <c r="I479" s="1037"/>
      <c r="J479" s="1037"/>
      <c r="K479" s="1037"/>
      <c r="L479" s="1037"/>
      <c r="M479" s="1037"/>
      <c r="N479" s="1037"/>
      <c r="O479" s="1037"/>
      <c r="P479" s="1037"/>
      <c r="Q479" s="1037"/>
      <c r="R479" s="1037"/>
      <c r="S479" s="1037"/>
      <c r="T479" s="1037"/>
      <c r="U479" s="1037"/>
      <c r="V479" s="1037"/>
      <c r="W479" s="1037"/>
      <c r="X479" s="1037"/>
      <c r="Y479" s="1037"/>
      <c r="Z479" s="1037"/>
      <c r="AA479" s="1037"/>
      <c r="AB479" s="1037"/>
      <c r="AC479" s="1037"/>
      <c r="AD479" s="1037"/>
      <c r="AE479" s="1037"/>
      <c r="AF479" s="1037"/>
      <c r="AG479" s="1037"/>
      <c r="AH479" s="1037"/>
      <c r="AI479" s="1037"/>
      <c r="AJ479" s="1037"/>
      <c r="AK479" s="1037"/>
      <c r="AL479" s="1037"/>
      <c r="AM479" s="1037"/>
      <c r="AN479" s="1037"/>
      <c r="AO479" s="1037"/>
      <c r="AP479" s="1037"/>
    </row>
    <row r="480" spans="1:42" s="226" customFormat="1">
      <c r="A480" s="2060"/>
      <c r="B480" s="1037"/>
      <c r="C480" s="1037"/>
      <c r="D480" s="1037"/>
      <c r="E480" s="1037"/>
      <c r="F480" s="1037"/>
      <c r="G480" s="1037"/>
      <c r="H480" s="1018"/>
      <c r="I480" s="1037"/>
      <c r="J480" s="1037"/>
      <c r="K480" s="1037"/>
      <c r="L480" s="1037"/>
      <c r="M480" s="1037"/>
      <c r="N480" s="1037"/>
      <c r="O480" s="1037"/>
      <c r="P480" s="1037"/>
      <c r="Q480" s="1037"/>
      <c r="R480" s="1037"/>
      <c r="S480" s="1037"/>
      <c r="T480" s="1037"/>
      <c r="U480" s="1037"/>
      <c r="V480" s="1037"/>
      <c r="W480" s="1037"/>
      <c r="X480" s="1037"/>
      <c r="Y480" s="1037"/>
      <c r="Z480" s="1037"/>
      <c r="AA480" s="1037"/>
      <c r="AB480" s="1037"/>
      <c r="AC480" s="1037"/>
      <c r="AD480" s="1037"/>
      <c r="AE480" s="1037"/>
      <c r="AF480" s="1037"/>
      <c r="AG480" s="1037"/>
      <c r="AH480" s="1037"/>
      <c r="AI480" s="1037"/>
      <c r="AJ480" s="1037"/>
      <c r="AK480" s="1037"/>
      <c r="AL480" s="1037"/>
      <c r="AM480" s="1037"/>
      <c r="AN480" s="1037"/>
      <c r="AO480" s="1037"/>
      <c r="AP480" s="1037"/>
    </row>
    <row r="481" spans="1:42" s="226" customFormat="1">
      <c r="A481" s="2060"/>
      <c r="B481" s="1037"/>
      <c r="C481" s="1037"/>
      <c r="D481" s="1037"/>
      <c r="E481" s="1037"/>
      <c r="F481" s="1037"/>
      <c r="G481" s="1037"/>
      <c r="H481" s="1018"/>
      <c r="I481" s="1037"/>
      <c r="J481" s="1037"/>
      <c r="K481" s="1037"/>
      <c r="L481" s="1037"/>
      <c r="M481" s="1037"/>
      <c r="N481" s="1037"/>
      <c r="O481" s="1037"/>
      <c r="P481" s="1037"/>
      <c r="Q481" s="1037"/>
      <c r="R481" s="1037"/>
      <c r="S481" s="1037"/>
      <c r="T481" s="1037"/>
      <c r="U481" s="1037"/>
      <c r="V481" s="1037"/>
      <c r="W481" s="1037"/>
      <c r="X481" s="1037"/>
      <c r="Y481" s="1037"/>
      <c r="Z481" s="1037"/>
      <c r="AA481" s="1037"/>
      <c r="AB481" s="1037"/>
      <c r="AC481" s="1037"/>
      <c r="AD481" s="1037"/>
      <c r="AE481" s="1037"/>
      <c r="AF481" s="1037"/>
      <c r="AG481" s="1037"/>
      <c r="AH481" s="1037"/>
      <c r="AI481" s="1037"/>
      <c r="AJ481" s="1037"/>
      <c r="AK481" s="1037"/>
      <c r="AL481" s="1037"/>
      <c r="AM481" s="1037"/>
      <c r="AN481" s="1037"/>
      <c r="AO481" s="1037"/>
      <c r="AP481" s="1037"/>
    </row>
    <row r="482" spans="1:42" s="226" customFormat="1">
      <c r="A482" s="2060"/>
      <c r="B482" s="1037"/>
      <c r="C482" s="1037"/>
      <c r="D482" s="1037"/>
      <c r="E482" s="1037"/>
      <c r="F482" s="1037"/>
      <c r="G482" s="1037"/>
      <c r="H482" s="1018"/>
      <c r="I482" s="1037"/>
      <c r="J482" s="1037"/>
      <c r="K482" s="1037"/>
      <c r="L482" s="1037"/>
      <c r="M482" s="1037"/>
      <c r="N482" s="1037"/>
      <c r="O482" s="1037"/>
      <c r="P482" s="1037"/>
      <c r="Q482" s="1037"/>
      <c r="R482" s="1037"/>
      <c r="S482" s="1037"/>
      <c r="T482" s="1037"/>
      <c r="U482" s="1037"/>
      <c r="V482" s="1037"/>
      <c r="W482" s="1037"/>
      <c r="X482" s="1037"/>
      <c r="Y482" s="1037"/>
      <c r="Z482" s="1037"/>
      <c r="AA482" s="1037"/>
      <c r="AB482" s="1037"/>
      <c r="AC482" s="1037"/>
      <c r="AD482" s="1037"/>
      <c r="AE482" s="1037"/>
      <c r="AF482" s="1037"/>
      <c r="AG482" s="1037"/>
      <c r="AH482" s="1037"/>
      <c r="AI482" s="1037"/>
      <c r="AJ482" s="1037"/>
      <c r="AK482" s="1037"/>
      <c r="AL482" s="1037"/>
      <c r="AM482" s="1037"/>
      <c r="AN482" s="1037"/>
      <c r="AO482" s="1037"/>
      <c r="AP482" s="1037"/>
    </row>
    <row r="483" spans="1:42" s="226" customFormat="1">
      <c r="A483" s="2060"/>
      <c r="B483" s="1037"/>
      <c r="C483" s="1037"/>
      <c r="D483" s="1037"/>
      <c r="E483" s="1037"/>
      <c r="F483" s="1037"/>
      <c r="G483" s="1037"/>
      <c r="H483" s="1018"/>
      <c r="I483" s="1037"/>
      <c r="J483" s="1037"/>
      <c r="K483" s="1037"/>
      <c r="L483" s="1037"/>
      <c r="M483" s="1037"/>
      <c r="N483" s="1037"/>
      <c r="O483" s="1037"/>
      <c r="P483" s="1037"/>
      <c r="Q483" s="1037"/>
      <c r="R483" s="1037"/>
      <c r="S483" s="1037"/>
      <c r="T483" s="1037"/>
      <c r="U483" s="1037"/>
      <c r="V483" s="1037"/>
      <c r="W483" s="1037"/>
      <c r="X483" s="1037"/>
      <c r="Y483" s="1037"/>
      <c r="Z483" s="1037"/>
      <c r="AA483" s="1037"/>
      <c r="AB483" s="1037"/>
      <c r="AC483" s="1037"/>
      <c r="AD483" s="1037"/>
      <c r="AE483" s="1037"/>
      <c r="AF483" s="1037"/>
      <c r="AG483" s="1037"/>
      <c r="AH483" s="1037"/>
      <c r="AI483" s="1037"/>
      <c r="AJ483" s="1037"/>
      <c r="AK483" s="1037"/>
      <c r="AL483" s="1037"/>
      <c r="AM483" s="1037"/>
      <c r="AN483" s="1037"/>
      <c r="AO483" s="1037"/>
      <c r="AP483" s="1037"/>
    </row>
    <row r="484" spans="1:42" s="226" customFormat="1">
      <c r="A484" s="2060"/>
      <c r="B484" s="1037"/>
      <c r="C484" s="1037"/>
      <c r="D484" s="1037"/>
      <c r="E484" s="1037"/>
      <c r="F484" s="1037"/>
      <c r="G484" s="1037"/>
      <c r="H484" s="1018"/>
      <c r="I484" s="1037"/>
      <c r="J484" s="1037"/>
      <c r="K484" s="1037"/>
      <c r="L484" s="1037"/>
      <c r="M484" s="1037"/>
      <c r="N484" s="1037"/>
      <c r="O484" s="1037"/>
      <c r="P484" s="1037"/>
      <c r="Q484" s="1037"/>
      <c r="R484" s="1037"/>
      <c r="S484" s="1037"/>
      <c r="T484" s="1037"/>
      <c r="U484" s="1037"/>
      <c r="V484" s="1037"/>
      <c r="W484" s="1037"/>
      <c r="X484" s="1037"/>
      <c r="Y484" s="1037"/>
      <c r="Z484" s="1037"/>
      <c r="AA484" s="1037"/>
      <c r="AB484" s="1037"/>
      <c r="AC484" s="1037"/>
      <c r="AD484" s="1037"/>
      <c r="AE484" s="1037"/>
      <c r="AF484" s="1037"/>
      <c r="AG484" s="1037"/>
      <c r="AH484" s="1037"/>
      <c r="AI484" s="1037"/>
      <c r="AJ484" s="1037"/>
      <c r="AK484" s="1037"/>
      <c r="AL484" s="1037"/>
      <c r="AM484" s="1037"/>
      <c r="AN484" s="1037"/>
      <c r="AO484" s="1037"/>
      <c r="AP484" s="1037"/>
    </row>
    <row r="485" spans="1:42" s="226" customFormat="1">
      <c r="A485" s="2060"/>
      <c r="B485" s="1037"/>
      <c r="C485" s="1037"/>
      <c r="D485" s="1037"/>
      <c r="E485" s="1037"/>
      <c r="F485" s="1037"/>
      <c r="G485" s="1037"/>
      <c r="H485" s="1018"/>
      <c r="I485" s="1037"/>
      <c r="J485" s="1037"/>
      <c r="K485" s="1037"/>
      <c r="L485" s="1037"/>
      <c r="M485" s="1037"/>
      <c r="N485" s="1037"/>
      <c r="O485" s="1037"/>
      <c r="P485" s="1037"/>
      <c r="Q485" s="1037"/>
      <c r="R485" s="1037"/>
      <c r="S485" s="1037"/>
      <c r="T485" s="1037"/>
      <c r="U485" s="1037"/>
      <c r="V485" s="1037"/>
      <c r="W485" s="1037"/>
      <c r="X485" s="1037"/>
      <c r="Y485" s="1037"/>
      <c r="Z485" s="1037"/>
      <c r="AA485" s="1037"/>
      <c r="AB485" s="1037"/>
      <c r="AC485" s="1037"/>
      <c r="AD485" s="1037"/>
      <c r="AE485" s="1037"/>
      <c r="AF485" s="1037"/>
      <c r="AG485" s="1037"/>
      <c r="AH485" s="1037"/>
      <c r="AI485" s="1037"/>
      <c r="AJ485" s="1037"/>
      <c r="AK485" s="1037"/>
      <c r="AL485" s="1037"/>
      <c r="AM485" s="1037"/>
      <c r="AN485" s="1037"/>
      <c r="AO485" s="1037"/>
      <c r="AP485" s="1037"/>
    </row>
    <row r="486" spans="1:42" s="226" customFormat="1">
      <c r="A486" s="2060"/>
      <c r="B486" s="1037"/>
      <c r="C486" s="1037"/>
      <c r="D486" s="1037"/>
      <c r="E486" s="1037"/>
      <c r="F486" s="1037"/>
      <c r="G486" s="1037"/>
      <c r="H486" s="1018"/>
      <c r="I486" s="1037"/>
      <c r="J486" s="1037"/>
      <c r="K486" s="1037"/>
      <c r="L486" s="1037"/>
      <c r="M486" s="1037"/>
      <c r="N486" s="1037"/>
      <c r="O486" s="1037"/>
      <c r="P486" s="1037"/>
      <c r="Q486" s="1037"/>
      <c r="R486" s="1037"/>
      <c r="S486" s="1037"/>
      <c r="T486" s="1037"/>
      <c r="U486" s="1037"/>
      <c r="V486" s="1037"/>
      <c r="W486" s="1037"/>
      <c r="X486" s="1037"/>
      <c r="Y486" s="1037"/>
      <c r="Z486" s="1037"/>
      <c r="AA486" s="1037"/>
      <c r="AB486" s="1037"/>
      <c r="AC486" s="1037"/>
      <c r="AD486" s="1037"/>
      <c r="AE486" s="1037"/>
      <c r="AF486" s="1037"/>
      <c r="AG486" s="1037"/>
      <c r="AH486" s="1037"/>
      <c r="AI486" s="1037"/>
      <c r="AJ486" s="1037"/>
      <c r="AK486" s="1037"/>
      <c r="AL486" s="1037"/>
      <c r="AM486" s="1037"/>
      <c r="AN486" s="1037"/>
      <c r="AO486" s="1037"/>
      <c r="AP486" s="1037"/>
    </row>
    <row r="487" spans="1:42" s="226" customFormat="1">
      <c r="A487" s="2060"/>
      <c r="B487" s="1037"/>
      <c r="C487" s="1037"/>
      <c r="D487" s="1037"/>
      <c r="E487" s="1037"/>
      <c r="F487" s="1037"/>
      <c r="G487" s="1037"/>
      <c r="H487" s="1018"/>
      <c r="I487" s="1037"/>
      <c r="J487" s="1037"/>
      <c r="K487" s="1037"/>
      <c r="L487" s="1037"/>
      <c r="M487" s="1037"/>
      <c r="N487" s="1037"/>
      <c r="O487" s="1037"/>
      <c r="P487" s="1037"/>
      <c r="Q487" s="1037"/>
      <c r="R487" s="1037"/>
      <c r="S487" s="1037"/>
      <c r="T487" s="1037"/>
      <c r="U487" s="1037"/>
      <c r="V487" s="1037"/>
      <c r="W487" s="1037"/>
      <c r="X487" s="1037"/>
      <c r="Y487" s="1037"/>
      <c r="Z487" s="1037"/>
      <c r="AA487" s="1037"/>
      <c r="AB487" s="1037"/>
      <c r="AC487" s="1037"/>
      <c r="AD487" s="1037"/>
      <c r="AE487" s="1037"/>
      <c r="AF487" s="1037"/>
      <c r="AG487" s="1037"/>
      <c r="AH487" s="1037"/>
      <c r="AI487" s="1037"/>
      <c r="AJ487" s="1037"/>
      <c r="AK487" s="1037"/>
      <c r="AL487" s="1037"/>
      <c r="AM487" s="1037"/>
      <c r="AN487" s="1037"/>
      <c r="AO487" s="1037"/>
      <c r="AP487" s="1037"/>
    </row>
    <row r="488" spans="1:42" s="226" customFormat="1">
      <c r="A488" s="2060"/>
      <c r="B488" s="1037"/>
      <c r="C488" s="1037"/>
      <c r="D488" s="1037"/>
      <c r="E488" s="1037"/>
      <c r="F488" s="1037"/>
      <c r="G488" s="1037"/>
      <c r="H488" s="1018"/>
      <c r="I488" s="1037"/>
      <c r="J488" s="1037"/>
      <c r="K488" s="1037"/>
      <c r="L488" s="1037"/>
      <c r="M488" s="1037"/>
      <c r="N488" s="1037"/>
      <c r="O488" s="1037"/>
      <c r="P488" s="1037"/>
      <c r="Q488" s="1037"/>
      <c r="R488" s="1037"/>
      <c r="S488" s="1037"/>
      <c r="T488" s="1037"/>
      <c r="U488" s="1037"/>
      <c r="V488" s="1037"/>
      <c r="W488" s="1037"/>
      <c r="X488" s="1037"/>
      <c r="Y488" s="1037"/>
      <c r="Z488" s="1037"/>
      <c r="AA488" s="1037"/>
      <c r="AB488" s="1037"/>
      <c r="AC488" s="1037"/>
      <c r="AD488" s="1037"/>
      <c r="AE488" s="1037"/>
      <c r="AF488" s="1037"/>
      <c r="AG488" s="1037"/>
      <c r="AH488" s="1037"/>
      <c r="AI488" s="1037"/>
      <c r="AJ488" s="1037"/>
      <c r="AK488" s="1037"/>
      <c r="AL488" s="1037"/>
      <c r="AM488" s="1037"/>
      <c r="AN488" s="1037"/>
      <c r="AO488" s="1037"/>
      <c r="AP488" s="1037"/>
    </row>
    <row r="489" spans="1:42" s="226" customFormat="1">
      <c r="A489" s="2060"/>
      <c r="B489" s="1037"/>
      <c r="C489" s="1037"/>
      <c r="D489" s="1037"/>
      <c r="E489" s="1037"/>
      <c r="F489" s="1037"/>
      <c r="G489" s="1037"/>
      <c r="H489" s="1018"/>
      <c r="I489" s="1037"/>
      <c r="J489" s="1037"/>
      <c r="K489" s="1037"/>
      <c r="L489" s="1037"/>
      <c r="M489" s="1037"/>
      <c r="N489" s="1037"/>
      <c r="O489" s="1037"/>
      <c r="P489" s="1037"/>
      <c r="Q489" s="1037"/>
      <c r="R489" s="1037"/>
      <c r="S489" s="1037"/>
      <c r="T489" s="1037"/>
      <c r="U489" s="1037"/>
      <c r="V489" s="1037"/>
      <c r="W489" s="1037"/>
      <c r="X489" s="1037"/>
      <c r="Y489" s="1037"/>
      <c r="Z489" s="1037"/>
      <c r="AA489" s="1037"/>
      <c r="AB489" s="1037"/>
      <c r="AC489" s="1037"/>
      <c r="AD489" s="1037"/>
      <c r="AE489" s="1037"/>
      <c r="AF489" s="1037"/>
      <c r="AG489" s="1037"/>
      <c r="AH489" s="1037"/>
      <c r="AI489" s="1037"/>
      <c r="AJ489" s="1037"/>
      <c r="AK489" s="1037"/>
      <c r="AL489" s="1037"/>
      <c r="AM489" s="1037"/>
      <c r="AN489" s="1037"/>
      <c r="AO489" s="1037"/>
      <c r="AP489" s="1037"/>
    </row>
    <row r="490" spans="1:42" s="226" customFormat="1">
      <c r="A490" s="2060"/>
      <c r="B490" s="1037"/>
      <c r="C490" s="1037"/>
      <c r="D490" s="1037"/>
      <c r="E490" s="1037"/>
      <c r="F490" s="1037"/>
      <c r="G490" s="1037"/>
      <c r="H490" s="1018"/>
      <c r="I490" s="1037"/>
      <c r="J490" s="1037"/>
      <c r="K490" s="1037"/>
      <c r="L490" s="1037"/>
      <c r="M490" s="1037"/>
      <c r="N490" s="1037"/>
      <c r="O490" s="1037"/>
      <c r="P490" s="1037"/>
      <c r="Q490" s="1037"/>
      <c r="R490" s="1037"/>
      <c r="S490" s="1037"/>
      <c r="T490" s="1037"/>
      <c r="U490" s="1037"/>
      <c r="V490" s="1037"/>
      <c r="W490" s="1037"/>
      <c r="X490" s="1037"/>
      <c r="Y490" s="1037"/>
      <c r="Z490" s="1037"/>
      <c r="AA490" s="1037"/>
      <c r="AB490" s="1037"/>
      <c r="AC490" s="1037"/>
      <c r="AD490" s="1037"/>
      <c r="AE490" s="1037"/>
      <c r="AF490" s="1037"/>
      <c r="AG490" s="1037"/>
      <c r="AH490" s="1037"/>
      <c r="AI490" s="1037"/>
      <c r="AJ490" s="1037"/>
      <c r="AK490" s="1037"/>
      <c r="AL490" s="1037"/>
      <c r="AM490" s="1037"/>
      <c r="AN490" s="1037"/>
      <c r="AO490" s="1037"/>
      <c r="AP490" s="1037"/>
    </row>
    <row r="491" spans="1:42" s="226" customFormat="1">
      <c r="A491" s="2060"/>
      <c r="B491" s="1037"/>
      <c r="C491" s="1037"/>
      <c r="D491" s="1037"/>
      <c r="E491" s="1037"/>
      <c r="F491" s="1037"/>
      <c r="G491" s="1037"/>
      <c r="H491" s="1018"/>
      <c r="I491" s="1037"/>
      <c r="J491" s="1037"/>
      <c r="K491" s="1037"/>
      <c r="L491" s="1037"/>
      <c r="M491" s="1037"/>
      <c r="N491" s="1037"/>
      <c r="O491" s="1037"/>
      <c r="P491" s="1037"/>
      <c r="Q491" s="1037"/>
      <c r="R491" s="1037"/>
      <c r="S491" s="1037"/>
      <c r="T491" s="1037"/>
      <c r="U491" s="1037"/>
      <c r="V491" s="1037"/>
      <c r="W491" s="1037"/>
      <c r="X491" s="1037"/>
      <c r="Y491" s="1037"/>
      <c r="Z491" s="1037"/>
      <c r="AA491" s="1037"/>
      <c r="AB491" s="1037"/>
      <c r="AC491" s="1037"/>
      <c r="AD491" s="1037"/>
      <c r="AE491" s="1037"/>
      <c r="AF491" s="1037"/>
      <c r="AG491" s="1037"/>
      <c r="AH491" s="1037"/>
      <c r="AI491" s="1037"/>
      <c r="AJ491" s="1037"/>
      <c r="AK491" s="1037"/>
      <c r="AL491" s="1037"/>
      <c r="AM491" s="1037"/>
      <c r="AN491" s="1037"/>
      <c r="AO491" s="1037"/>
      <c r="AP491" s="1037"/>
    </row>
    <row r="492" spans="1:42" s="226" customFormat="1">
      <c r="A492" s="2060"/>
      <c r="B492" s="1037"/>
      <c r="C492" s="1037"/>
      <c r="D492" s="1037"/>
      <c r="E492" s="1037"/>
      <c r="F492" s="1037"/>
      <c r="G492" s="1037"/>
      <c r="H492" s="1018"/>
      <c r="I492" s="1037"/>
      <c r="J492" s="1037"/>
      <c r="K492" s="1037"/>
      <c r="L492" s="1037"/>
      <c r="M492" s="1037"/>
      <c r="N492" s="1037"/>
      <c r="O492" s="1037"/>
      <c r="P492" s="1037"/>
      <c r="Q492" s="1037"/>
      <c r="R492" s="1037"/>
      <c r="S492" s="1037"/>
      <c r="T492" s="1037"/>
      <c r="U492" s="1037"/>
      <c r="V492" s="1037"/>
      <c r="W492" s="1037"/>
      <c r="X492" s="1037"/>
      <c r="Y492" s="1037"/>
      <c r="Z492" s="1037"/>
      <c r="AA492" s="1037"/>
      <c r="AB492" s="1037"/>
      <c r="AC492" s="1037"/>
      <c r="AD492" s="1037"/>
      <c r="AE492" s="1037"/>
      <c r="AF492" s="1037"/>
      <c r="AG492" s="1037"/>
      <c r="AH492" s="1037"/>
      <c r="AI492" s="1037"/>
      <c r="AJ492" s="1037"/>
      <c r="AK492" s="1037"/>
      <c r="AL492" s="1037"/>
      <c r="AM492" s="1037"/>
      <c r="AN492" s="1037"/>
      <c r="AO492" s="1037"/>
      <c r="AP492" s="1037"/>
    </row>
    <row r="493" spans="1:42" s="226" customFormat="1">
      <c r="A493" s="2060"/>
      <c r="B493" s="1037"/>
      <c r="C493" s="1037"/>
      <c r="D493" s="1037"/>
      <c r="E493" s="1037"/>
      <c r="F493" s="1037"/>
      <c r="G493" s="1037"/>
      <c r="H493" s="1018"/>
      <c r="I493" s="1037"/>
      <c r="J493" s="1037"/>
      <c r="K493" s="1037"/>
      <c r="L493" s="1037"/>
      <c r="M493" s="1037"/>
      <c r="N493" s="1037"/>
      <c r="O493" s="1037"/>
      <c r="P493" s="1037"/>
      <c r="Q493" s="1037"/>
      <c r="R493" s="1037"/>
      <c r="S493" s="1037"/>
      <c r="T493" s="1037"/>
      <c r="U493" s="1037"/>
      <c r="V493" s="1037"/>
      <c r="W493" s="1037"/>
      <c r="X493" s="1037"/>
      <c r="Y493" s="1037"/>
      <c r="Z493" s="1037"/>
      <c r="AA493" s="1037"/>
      <c r="AB493" s="1037"/>
      <c r="AC493" s="1037"/>
      <c r="AD493" s="1037"/>
      <c r="AE493" s="1037"/>
      <c r="AF493" s="1037"/>
      <c r="AG493" s="1037"/>
      <c r="AH493" s="1037"/>
      <c r="AI493" s="1037"/>
      <c r="AJ493" s="1037"/>
      <c r="AK493" s="1037"/>
      <c r="AL493" s="1037"/>
      <c r="AM493" s="1037"/>
      <c r="AN493" s="1037"/>
      <c r="AO493" s="1037"/>
      <c r="AP493" s="1037"/>
    </row>
    <row r="494" spans="1:42" s="226" customFormat="1">
      <c r="A494" s="2060"/>
      <c r="B494" s="1037"/>
      <c r="C494" s="1037"/>
      <c r="D494" s="1037"/>
      <c r="E494" s="1037"/>
      <c r="F494" s="1037"/>
      <c r="G494" s="1037"/>
      <c r="H494" s="1018"/>
      <c r="I494" s="1037"/>
      <c r="J494" s="1037"/>
      <c r="K494" s="1037"/>
      <c r="L494" s="1037"/>
      <c r="M494" s="1037"/>
      <c r="N494" s="1037"/>
      <c r="O494" s="1037"/>
      <c r="P494" s="1037"/>
      <c r="Q494" s="1037"/>
      <c r="R494" s="1037"/>
      <c r="S494" s="1037"/>
      <c r="T494" s="1037"/>
      <c r="U494" s="1037"/>
      <c r="V494" s="1037"/>
      <c r="W494" s="1037"/>
      <c r="X494" s="1037"/>
      <c r="Y494" s="1037"/>
      <c r="Z494" s="1037"/>
      <c r="AA494" s="1037"/>
      <c r="AB494" s="1037"/>
      <c r="AC494" s="1037"/>
      <c r="AD494" s="1037"/>
      <c r="AE494" s="1037"/>
      <c r="AF494" s="1037"/>
      <c r="AG494" s="1037"/>
      <c r="AH494" s="1037"/>
      <c r="AI494" s="1037"/>
      <c r="AJ494" s="1037"/>
      <c r="AK494" s="1037"/>
      <c r="AL494" s="1037"/>
      <c r="AM494" s="1037"/>
      <c r="AN494" s="1037"/>
      <c r="AO494" s="1037"/>
      <c r="AP494" s="1037"/>
    </row>
    <row r="495" spans="1:42" s="226" customFormat="1">
      <c r="A495" s="2060"/>
      <c r="B495" s="1037"/>
      <c r="C495" s="1037"/>
      <c r="D495" s="1037"/>
      <c r="E495" s="1037"/>
      <c r="F495" s="1037"/>
      <c r="G495" s="1037"/>
      <c r="H495" s="1018"/>
      <c r="I495" s="1037"/>
      <c r="J495" s="1037"/>
      <c r="K495" s="1037"/>
      <c r="L495" s="1037"/>
      <c r="M495" s="1037"/>
      <c r="N495" s="1037"/>
      <c r="O495" s="1037"/>
      <c r="P495" s="1037"/>
      <c r="Q495" s="1037"/>
      <c r="R495" s="1037"/>
      <c r="S495" s="1037"/>
      <c r="T495" s="1037"/>
      <c r="U495" s="1037"/>
      <c r="V495" s="1037"/>
      <c r="W495" s="1037"/>
      <c r="X495" s="1037"/>
      <c r="Y495" s="1037"/>
      <c r="Z495" s="1037"/>
      <c r="AA495" s="1037"/>
      <c r="AB495" s="1037"/>
      <c r="AC495" s="1037"/>
      <c r="AD495" s="1037"/>
      <c r="AE495" s="1037"/>
      <c r="AF495" s="1037"/>
      <c r="AG495" s="1037"/>
      <c r="AH495" s="1037"/>
      <c r="AI495" s="1037"/>
      <c r="AJ495" s="1037"/>
      <c r="AK495" s="1037"/>
      <c r="AL495" s="1037"/>
      <c r="AM495" s="1037"/>
      <c r="AN495" s="1037"/>
      <c r="AO495" s="1037"/>
      <c r="AP495" s="1037"/>
    </row>
    <row r="496" spans="1:42" s="226" customFormat="1">
      <c r="A496" s="2060"/>
      <c r="B496" s="1037"/>
      <c r="C496" s="1037"/>
      <c r="D496" s="1037"/>
      <c r="E496" s="1037"/>
      <c r="F496" s="1037"/>
      <c r="G496" s="1037"/>
      <c r="H496" s="1018"/>
      <c r="I496" s="1037"/>
      <c r="J496" s="1037"/>
      <c r="K496" s="1037"/>
      <c r="L496" s="1037"/>
      <c r="M496" s="1037"/>
      <c r="N496" s="1037"/>
      <c r="O496" s="1037"/>
      <c r="P496" s="1037"/>
      <c r="Q496" s="1037"/>
      <c r="R496" s="1037"/>
      <c r="S496" s="1037"/>
      <c r="T496" s="1037"/>
      <c r="U496" s="1037"/>
      <c r="V496" s="1037"/>
      <c r="W496" s="1037"/>
      <c r="X496" s="1037"/>
      <c r="Y496" s="1037"/>
      <c r="Z496" s="1037"/>
      <c r="AA496" s="1037"/>
      <c r="AB496" s="1037"/>
      <c r="AC496" s="1037"/>
      <c r="AD496" s="1037"/>
      <c r="AE496" s="1037"/>
      <c r="AF496" s="1037"/>
      <c r="AG496" s="1037"/>
      <c r="AH496" s="1037"/>
      <c r="AI496" s="1037"/>
      <c r="AJ496" s="1037"/>
      <c r="AK496" s="1037"/>
      <c r="AL496" s="1037"/>
      <c r="AM496" s="1037"/>
      <c r="AN496" s="1037"/>
      <c r="AO496" s="1037"/>
      <c r="AP496" s="1037"/>
    </row>
    <row r="497" spans="1:42" s="226" customFormat="1">
      <c r="A497" s="2060"/>
      <c r="B497" s="1037"/>
      <c r="C497" s="1037"/>
      <c r="D497" s="1037"/>
      <c r="E497" s="1037"/>
      <c r="F497" s="1037"/>
      <c r="G497" s="1037"/>
      <c r="H497" s="1018"/>
      <c r="I497" s="1037"/>
      <c r="J497" s="1037"/>
      <c r="K497" s="1037"/>
      <c r="L497" s="1037"/>
      <c r="M497" s="1037"/>
      <c r="N497" s="1037"/>
      <c r="O497" s="1037"/>
      <c r="P497" s="1037"/>
      <c r="Q497" s="1037"/>
      <c r="R497" s="1037"/>
      <c r="S497" s="1037"/>
      <c r="T497" s="1037"/>
      <c r="U497" s="1037"/>
      <c r="V497" s="1037"/>
      <c r="W497" s="1037"/>
      <c r="X497" s="1037"/>
      <c r="Y497" s="1037"/>
      <c r="Z497" s="1037"/>
      <c r="AA497" s="1037"/>
      <c r="AB497" s="1037"/>
      <c r="AC497" s="1037"/>
      <c r="AD497" s="1037"/>
      <c r="AE497" s="1037"/>
      <c r="AF497" s="1037"/>
      <c r="AG497" s="1037"/>
      <c r="AH497" s="1037"/>
      <c r="AI497" s="1037"/>
      <c r="AJ497" s="1037"/>
      <c r="AK497" s="1037"/>
      <c r="AL497" s="1037"/>
      <c r="AM497" s="1037"/>
      <c r="AN497" s="1037"/>
      <c r="AO497" s="1037"/>
      <c r="AP497" s="1037"/>
    </row>
    <row r="498" spans="1:42" s="226" customFormat="1">
      <c r="A498" s="2060"/>
      <c r="B498" s="1037"/>
      <c r="C498" s="1037"/>
      <c r="D498" s="1037"/>
      <c r="E498" s="1037"/>
      <c r="F498" s="1037"/>
      <c r="G498" s="1037"/>
      <c r="H498" s="1018"/>
      <c r="I498" s="1037"/>
      <c r="J498" s="1037"/>
      <c r="K498" s="1037"/>
      <c r="L498" s="1037"/>
      <c r="M498" s="1037"/>
      <c r="N498" s="1037"/>
      <c r="O498" s="1037"/>
      <c r="P498" s="1037"/>
      <c r="Q498" s="1037"/>
      <c r="R498" s="1037"/>
      <c r="S498" s="1037"/>
      <c r="T498" s="1037"/>
      <c r="U498" s="1037"/>
      <c r="V498" s="1037"/>
      <c r="W498" s="1037"/>
      <c r="X498" s="1037"/>
      <c r="Y498" s="1037"/>
      <c r="Z498" s="1037"/>
      <c r="AA498" s="1037"/>
      <c r="AB498" s="1037"/>
      <c r="AC498" s="1037"/>
      <c r="AD498" s="1037"/>
      <c r="AE498" s="1037"/>
      <c r="AF498" s="1037"/>
      <c r="AG498" s="1037"/>
      <c r="AH498" s="1037"/>
      <c r="AI498" s="1037"/>
      <c r="AJ498" s="1037"/>
      <c r="AK498" s="1037"/>
      <c r="AL498" s="1037"/>
      <c r="AM498" s="1037"/>
      <c r="AN498" s="1037"/>
      <c r="AO498" s="1037"/>
      <c r="AP498" s="1037"/>
    </row>
    <row r="499" spans="1:42" s="226" customFormat="1">
      <c r="A499" s="2060"/>
      <c r="B499" s="1037"/>
      <c r="C499" s="1037"/>
      <c r="D499" s="1037"/>
      <c r="E499" s="1037"/>
      <c r="F499" s="1037"/>
      <c r="G499" s="1037"/>
      <c r="H499" s="1018"/>
      <c r="I499" s="1037"/>
      <c r="J499" s="1037"/>
      <c r="K499" s="1037"/>
      <c r="L499" s="1037"/>
      <c r="M499" s="1037"/>
      <c r="N499" s="1037"/>
      <c r="O499" s="1037"/>
      <c r="P499" s="1037"/>
      <c r="Q499" s="1037"/>
      <c r="R499" s="1037"/>
      <c r="S499" s="1037"/>
      <c r="T499" s="1037"/>
      <c r="U499" s="1037"/>
      <c r="V499" s="1037"/>
      <c r="W499" s="1037"/>
      <c r="X499" s="1037"/>
      <c r="Y499" s="1037"/>
      <c r="Z499" s="1037"/>
      <c r="AA499" s="1037"/>
      <c r="AB499" s="1037"/>
      <c r="AC499" s="1037"/>
      <c r="AD499" s="1037"/>
      <c r="AE499" s="1037"/>
      <c r="AF499" s="1037"/>
      <c r="AG499" s="1037"/>
      <c r="AH499" s="1037"/>
      <c r="AI499" s="1037"/>
      <c r="AJ499" s="1037"/>
      <c r="AK499" s="1037"/>
      <c r="AL499" s="1037"/>
      <c r="AM499" s="1037"/>
      <c r="AN499" s="1037"/>
      <c r="AO499" s="1037"/>
      <c r="AP499" s="1037"/>
    </row>
    <row r="500" spans="1:42" s="226" customFormat="1">
      <c r="A500" s="2060"/>
      <c r="B500" s="1037"/>
      <c r="C500" s="1037"/>
      <c r="D500" s="1037"/>
      <c r="E500" s="1037"/>
      <c r="F500" s="1037"/>
      <c r="G500" s="1037"/>
      <c r="H500" s="1018"/>
      <c r="I500" s="1037"/>
      <c r="J500" s="1037"/>
      <c r="K500" s="1037"/>
      <c r="L500" s="1037"/>
      <c r="M500" s="1037"/>
      <c r="N500" s="1037"/>
      <c r="O500" s="1037"/>
      <c r="P500" s="1037"/>
      <c r="Q500" s="1037"/>
      <c r="R500" s="1037"/>
      <c r="S500" s="1037"/>
      <c r="T500" s="1037"/>
      <c r="U500" s="1037"/>
      <c r="V500" s="1037"/>
      <c r="W500" s="1037"/>
      <c r="X500" s="1037"/>
      <c r="Y500" s="1037"/>
      <c r="Z500" s="1037"/>
      <c r="AA500" s="1037"/>
      <c r="AB500" s="1037"/>
      <c r="AC500" s="1037"/>
      <c r="AD500" s="1037"/>
      <c r="AE500" s="1037"/>
      <c r="AF500" s="1037"/>
      <c r="AG500" s="1037"/>
      <c r="AH500" s="1037"/>
      <c r="AI500" s="1037"/>
      <c r="AJ500" s="1037"/>
      <c r="AK500" s="1037"/>
      <c r="AL500" s="1037"/>
      <c r="AM500" s="1037"/>
      <c r="AN500" s="1037"/>
      <c r="AO500" s="1037"/>
      <c r="AP500" s="1037"/>
    </row>
    <row r="501" spans="1:42" s="226" customFormat="1">
      <c r="A501" s="2060"/>
      <c r="B501" s="1037"/>
      <c r="C501" s="1037"/>
      <c r="D501" s="1037"/>
      <c r="E501" s="1037"/>
      <c r="F501" s="1037"/>
      <c r="G501" s="1037"/>
      <c r="H501" s="1018"/>
      <c r="I501" s="1037"/>
      <c r="J501" s="1037"/>
      <c r="K501" s="1037"/>
      <c r="L501" s="1037"/>
      <c r="M501" s="1037"/>
      <c r="N501" s="1037"/>
      <c r="O501" s="1037"/>
      <c r="P501" s="1037"/>
      <c r="Q501" s="1037"/>
      <c r="R501" s="1037"/>
      <c r="S501" s="1037"/>
      <c r="T501" s="1037"/>
      <c r="U501" s="1037"/>
      <c r="V501" s="1037"/>
      <c r="W501" s="1037"/>
      <c r="X501" s="1037"/>
      <c r="Y501" s="1037"/>
      <c r="Z501" s="1037"/>
      <c r="AA501" s="1037"/>
      <c r="AB501" s="1037"/>
      <c r="AC501" s="1037"/>
      <c r="AD501" s="1037"/>
      <c r="AE501" s="1037"/>
      <c r="AF501" s="1037"/>
      <c r="AG501" s="1037"/>
      <c r="AH501" s="1037"/>
      <c r="AI501" s="1037"/>
      <c r="AJ501" s="1037"/>
      <c r="AK501" s="1037"/>
      <c r="AL501" s="1037"/>
      <c r="AM501" s="1037"/>
      <c r="AN501" s="1037"/>
      <c r="AO501" s="1037"/>
      <c r="AP501" s="1037"/>
    </row>
    <row r="502" spans="1:42" s="226" customFormat="1">
      <c r="A502" s="2060"/>
      <c r="B502" s="1037"/>
      <c r="C502" s="1037"/>
      <c r="D502" s="1037"/>
      <c r="E502" s="1037"/>
      <c r="F502" s="1037"/>
      <c r="G502" s="1037"/>
      <c r="H502" s="1018"/>
      <c r="I502" s="1037"/>
      <c r="J502" s="1037"/>
      <c r="K502" s="1037"/>
      <c r="L502" s="1037"/>
      <c r="M502" s="1037"/>
      <c r="N502" s="1037"/>
      <c r="O502" s="1037"/>
      <c r="P502" s="1037"/>
      <c r="Q502" s="1037"/>
      <c r="R502" s="1037"/>
      <c r="S502" s="1037"/>
      <c r="T502" s="1037"/>
      <c r="U502" s="1037"/>
      <c r="V502" s="1037"/>
      <c r="W502" s="1037"/>
      <c r="X502" s="1037"/>
      <c r="Y502" s="1037"/>
      <c r="Z502" s="1037"/>
      <c r="AA502" s="1037"/>
      <c r="AB502" s="1037"/>
      <c r="AC502" s="1037"/>
      <c r="AD502" s="1037"/>
      <c r="AE502" s="1037"/>
      <c r="AF502" s="1037"/>
      <c r="AG502" s="1037"/>
      <c r="AH502" s="1037"/>
      <c r="AI502" s="1037"/>
      <c r="AJ502" s="1037"/>
      <c r="AK502" s="1037"/>
      <c r="AL502" s="1037"/>
      <c r="AM502" s="1037"/>
      <c r="AN502" s="1037"/>
      <c r="AO502" s="1037"/>
      <c r="AP502" s="1037"/>
    </row>
    <row r="503" spans="1:42" s="226" customFormat="1">
      <c r="A503" s="2060"/>
      <c r="B503" s="1037"/>
      <c r="C503" s="1037"/>
      <c r="D503" s="1037"/>
      <c r="E503" s="1037"/>
      <c r="F503" s="1037"/>
      <c r="G503" s="1037"/>
      <c r="H503" s="1018"/>
      <c r="I503" s="1037"/>
      <c r="J503" s="1037"/>
      <c r="K503" s="1037"/>
      <c r="L503" s="1037"/>
      <c r="M503" s="1037"/>
      <c r="N503" s="1037"/>
      <c r="O503" s="1037"/>
      <c r="P503" s="1037"/>
      <c r="Q503" s="1037"/>
      <c r="R503" s="1037"/>
      <c r="S503" s="1037"/>
      <c r="T503" s="1037"/>
      <c r="U503" s="1037"/>
      <c r="V503" s="1037"/>
      <c r="W503" s="1037"/>
      <c r="X503" s="1037"/>
      <c r="Y503" s="1037"/>
      <c r="Z503" s="1037"/>
      <c r="AA503" s="1037"/>
      <c r="AB503" s="1037"/>
      <c r="AC503" s="1037"/>
      <c r="AD503" s="1037"/>
      <c r="AE503" s="1037"/>
      <c r="AF503" s="1037"/>
      <c r="AG503" s="1037"/>
      <c r="AH503" s="1037"/>
      <c r="AI503" s="1037"/>
      <c r="AJ503" s="1037"/>
      <c r="AK503" s="1037"/>
      <c r="AL503" s="1037"/>
      <c r="AM503" s="1037"/>
      <c r="AN503" s="1037"/>
      <c r="AO503" s="1037"/>
      <c r="AP503" s="1037"/>
    </row>
    <row r="504" spans="1:42" s="226" customFormat="1">
      <c r="A504" s="2060"/>
      <c r="B504" s="1037"/>
      <c r="C504" s="1037"/>
      <c r="D504" s="1037"/>
      <c r="E504" s="1037"/>
      <c r="F504" s="1037"/>
      <c r="G504" s="1037"/>
      <c r="H504" s="1018"/>
      <c r="I504" s="1037"/>
      <c r="J504" s="1037"/>
      <c r="K504" s="1037"/>
      <c r="L504" s="1037"/>
      <c r="M504" s="1037"/>
      <c r="N504" s="1037"/>
      <c r="O504" s="1037"/>
      <c r="P504" s="1037"/>
      <c r="Q504" s="1037"/>
      <c r="R504" s="1037"/>
      <c r="S504" s="1037"/>
      <c r="T504" s="1037"/>
      <c r="U504" s="1037"/>
      <c r="V504" s="1037"/>
      <c r="W504" s="1037"/>
      <c r="X504" s="1037"/>
      <c r="Y504" s="1037"/>
      <c r="Z504" s="1037"/>
      <c r="AA504" s="1037"/>
      <c r="AB504" s="1037"/>
      <c r="AC504" s="1037"/>
      <c r="AD504" s="1037"/>
      <c r="AE504" s="1037"/>
      <c r="AF504" s="1037"/>
      <c r="AG504" s="1037"/>
      <c r="AH504" s="1037"/>
      <c r="AI504" s="1037"/>
      <c r="AJ504" s="1037"/>
      <c r="AK504" s="1037"/>
      <c r="AL504" s="1037"/>
      <c r="AM504" s="1037"/>
      <c r="AN504" s="1037"/>
      <c r="AO504" s="1037"/>
      <c r="AP504" s="1037"/>
    </row>
    <row r="505" spans="1:42" s="226" customFormat="1">
      <c r="A505" s="2060"/>
      <c r="B505" s="1037"/>
      <c r="C505" s="1037"/>
      <c r="D505" s="1037"/>
      <c r="E505" s="1037"/>
      <c r="F505" s="1037"/>
      <c r="G505" s="1037"/>
      <c r="H505" s="1018"/>
      <c r="I505" s="1037"/>
      <c r="J505" s="1037"/>
      <c r="K505" s="1037"/>
      <c r="L505" s="1037"/>
      <c r="M505" s="1037"/>
      <c r="N505" s="1037"/>
      <c r="O505" s="1037"/>
      <c r="P505" s="1037"/>
      <c r="Q505" s="1037"/>
      <c r="R505" s="1037"/>
      <c r="S505" s="1037"/>
      <c r="T505" s="1037"/>
      <c r="U505" s="1037"/>
      <c r="V505" s="1037"/>
      <c r="W505" s="1037"/>
      <c r="X505" s="1037"/>
      <c r="Y505" s="1037"/>
      <c r="Z505" s="1037"/>
      <c r="AA505" s="1037"/>
      <c r="AB505" s="1037"/>
      <c r="AC505" s="1037"/>
      <c r="AD505" s="1037"/>
      <c r="AE505" s="1037"/>
      <c r="AF505" s="1037"/>
      <c r="AG505" s="1037"/>
      <c r="AH505" s="1037"/>
      <c r="AI505" s="1037"/>
      <c r="AJ505" s="1037"/>
      <c r="AK505" s="1037"/>
      <c r="AL505" s="1037"/>
      <c r="AM505" s="1037"/>
      <c r="AN505" s="1037"/>
      <c r="AO505" s="1037"/>
      <c r="AP505" s="1037"/>
    </row>
    <row r="506" spans="1:42" s="226" customFormat="1">
      <c r="A506" s="2060"/>
      <c r="B506" s="1037"/>
      <c r="C506" s="1037"/>
      <c r="D506" s="1037"/>
      <c r="E506" s="1037"/>
      <c r="F506" s="1037"/>
      <c r="G506" s="1037"/>
      <c r="H506" s="1018"/>
      <c r="I506" s="1037"/>
      <c r="J506" s="1037"/>
      <c r="K506" s="1037"/>
      <c r="L506" s="1037"/>
      <c r="M506" s="1037"/>
      <c r="N506" s="1037"/>
      <c r="O506" s="1037"/>
      <c r="P506" s="1037"/>
      <c r="Q506" s="1037"/>
      <c r="R506" s="1037"/>
      <c r="S506" s="1037"/>
      <c r="T506" s="1037"/>
      <c r="U506" s="1037"/>
      <c r="V506" s="1037"/>
      <c r="W506" s="1037"/>
      <c r="X506" s="1037"/>
      <c r="Y506" s="1037"/>
      <c r="Z506" s="1037"/>
      <c r="AA506" s="1037"/>
      <c r="AB506" s="1037"/>
      <c r="AC506" s="1037"/>
      <c r="AD506" s="1037"/>
      <c r="AE506" s="1037"/>
      <c r="AF506" s="1037"/>
      <c r="AG506" s="1037"/>
      <c r="AH506" s="1037"/>
      <c r="AI506" s="1037"/>
      <c r="AJ506" s="1037"/>
      <c r="AK506" s="1037"/>
      <c r="AL506" s="1037"/>
      <c r="AM506" s="1037"/>
      <c r="AN506" s="1037"/>
      <c r="AO506" s="1037"/>
      <c r="AP506" s="1037"/>
    </row>
    <row r="507" spans="1:42" s="226" customFormat="1">
      <c r="A507" s="2060"/>
      <c r="B507" s="1037"/>
      <c r="C507" s="1037"/>
      <c r="D507" s="1037"/>
      <c r="E507" s="1037"/>
      <c r="F507" s="1037"/>
      <c r="G507" s="1037"/>
      <c r="H507" s="1018"/>
      <c r="I507" s="1037"/>
      <c r="J507" s="1037"/>
      <c r="K507" s="1037"/>
      <c r="L507" s="1037"/>
      <c r="M507" s="1037"/>
      <c r="N507" s="1037"/>
      <c r="O507" s="1037"/>
      <c r="P507" s="1037"/>
      <c r="Q507" s="1037"/>
      <c r="R507" s="1037"/>
      <c r="S507" s="1037"/>
      <c r="T507" s="1037"/>
      <c r="U507" s="1037"/>
      <c r="V507" s="1037"/>
      <c r="W507" s="1037"/>
      <c r="X507" s="1037"/>
      <c r="Y507" s="1037"/>
      <c r="Z507" s="1037"/>
      <c r="AA507" s="1037"/>
      <c r="AB507" s="1037"/>
      <c r="AC507" s="1037"/>
      <c r="AD507" s="1037"/>
      <c r="AE507" s="1037"/>
      <c r="AF507" s="1037"/>
      <c r="AG507" s="1037"/>
      <c r="AH507" s="1037"/>
      <c r="AI507" s="1037"/>
      <c r="AJ507" s="1037"/>
      <c r="AK507" s="1037"/>
      <c r="AL507" s="1037"/>
      <c r="AM507" s="1037"/>
      <c r="AN507" s="1037"/>
      <c r="AO507" s="1037"/>
      <c r="AP507" s="1037"/>
    </row>
    <row r="508" spans="1:42" s="226" customFormat="1">
      <c r="A508" s="2060"/>
      <c r="B508" s="1037"/>
      <c r="C508" s="1037"/>
      <c r="D508" s="1037"/>
      <c r="E508" s="1037"/>
      <c r="F508" s="1037"/>
      <c r="G508" s="1037"/>
      <c r="H508" s="1018"/>
      <c r="I508" s="1037"/>
      <c r="J508" s="1037"/>
      <c r="K508" s="1037"/>
      <c r="L508" s="1037"/>
      <c r="M508" s="1037"/>
      <c r="N508" s="1037"/>
      <c r="O508" s="1037"/>
      <c r="P508" s="1037"/>
      <c r="Q508" s="1037"/>
      <c r="R508" s="1037"/>
      <c r="S508" s="1037"/>
      <c r="T508" s="1037"/>
      <c r="U508" s="1037"/>
      <c r="V508" s="1037"/>
      <c r="W508" s="1037"/>
      <c r="X508" s="1037"/>
      <c r="Y508" s="1037"/>
      <c r="Z508" s="1037"/>
      <c r="AA508" s="1037"/>
      <c r="AB508" s="1037"/>
      <c r="AC508" s="1037"/>
      <c r="AD508" s="1037"/>
      <c r="AE508" s="1037"/>
      <c r="AF508" s="1037"/>
      <c r="AG508" s="1037"/>
      <c r="AH508" s="1037"/>
      <c r="AI508" s="1037"/>
      <c r="AJ508" s="1037"/>
      <c r="AK508" s="1037"/>
      <c r="AL508" s="1037"/>
      <c r="AM508" s="1037"/>
      <c r="AN508" s="1037"/>
      <c r="AO508" s="1037"/>
      <c r="AP508" s="1037"/>
    </row>
    <row r="509" spans="1:42" s="226" customFormat="1">
      <c r="A509" s="2060"/>
      <c r="B509" s="1037"/>
      <c r="C509" s="1037"/>
      <c r="D509" s="1037"/>
      <c r="E509" s="1037"/>
      <c r="F509" s="1037"/>
      <c r="G509" s="1037"/>
      <c r="H509" s="1018"/>
      <c r="I509" s="1037"/>
      <c r="J509" s="1037"/>
      <c r="K509" s="1037"/>
      <c r="L509" s="1037"/>
      <c r="M509" s="1037"/>
      <c r="N509" s="1037"/>
      <c r="O509" s="1037"/>
      <c r="P509" s="1037"/>
      <c r="Q509" s="1037"/>
      <c r="R509" s="1037"/>
      <c r="S509" s="1037"/>
      <c r="T509" s="1037"/>
      <c r="U509" s="1037"/>
      <c r="V509" s="1037"/>
      <c r="W509" s="1037"/>
      <c r="X509" s="1037"/>
      <c r="Y509" s="1037"/>
      <c r="Z509" s="1037"/>
      <c r="AA509" s="1037"/>
      <c r="AB509" s="1037"/>
      <c r="AC509" s="1037"/>
      <c r="AD509" s="1037"/>
      <c r="AE509" s="1037"/>
      <c r="AF509" s="1037"/>
      <c r="AG509" s="1037"/>
      <c r="AH509" s="1037"/>
      <c r="AI509" s="1037"/>
      <c r="AJ509" s="1037"/>
      <c r="AK509" s="1037"/>
      <c r="AL509" s="1037"/>
      <c r="AM509" s="1037"/>
      <c r="AN509" s="1037"/>
      <c r="AO509" s="1037"/>
      <c r="AP509" s="1037"/>
    </row>
    <row r="510" spans="1:42" s="226" customFormat="1">
      <c r="A510" s="2060"/>
      <c r="B510" s="1037"/>
      <c r="C510" s="1037"/>
      <c r="D510" s="1037"/>
      <c r="E510" s="1037"/>
      <c r="F510" s="1037"/>
      <c r="G510" s="1037"/>
      <c r="H510" s="1018"/>
      <c r="I510" s="1037"/>
      <c r="J510" s="1037"/>
      <c r="K510" s="1037"/>
      <c r="L510" s="1037"/>
      <c r="M510" s="1037"/>
      <c r="N510" s="1037"/>
      <c r="O510" s="1037"/>
      <c r="P510" s="1037"/>
      <c r="Q510" s="1037"/>
      <c r="R510" s="1037"/>
      <c r="S510" s="1037"/>
      <c r="T510" s="1037"/>
      <c r="U510" s="1037"/>
      <c r="V510" s="1037"/>
      <c r="W510" s="1037"/>
      <c r="X510" s="1037"/>
      <c r="Y510" s="1037"/>
      <c r="Z510" s="1037"/>
      <c r="AA510" s="1037"/>
      <c r="AB510" s="1037"/>
      <c r="AC510" s="1037"/>
      <c r="AD510" s="1037"/>
      <c r="AE510" s="1037"/>
      <c r="AF510" s="1037"/>
      <c r="AG510" s="1037"/>
      <c r="AH510" s="1037"/>
      <c r="AI510" s="1037"/>
      <c r="AJ510" s="1037"/>
      <c r="AK510" s="1037"/>
      <c r="AL510" s="1037"/>
      <c r="AM510" s="1037"/>
      <c r="AN510" s="1037"/>
      <c r="AO510" s="1037"/>
      <c r="AP510" s="1037"/>
    </row>
    <row r="511" spans="1:42" s="226" customFormat="1">
      <c r="A511" s="2060"/>
      <c r="B511" s="1037"/>
      <c r="C511" s="1037"/>
      <c r="D511" s="1037"/>
      <c r="E511" s="1037"/>
      <c r="F511" s="1037"/>
      <c r="G511" s="1037"/>
      <c r="H511" s="1018"/>
      <c r="I511" s="1037"/>
      <c r="J511" s="1037"/>
      <c r="K511" s="1037"/>
      <c r="L511" s="1037"/>
      <c r="M511" s="1037"/>
      <c r="N511" s="1037"/>
      <c r="O511" s="1037"/>
      <c r="P511" s="1037"/>
      <c r="Q511" s="1037"/>
      <c r="R511" s="1037"/>
      <c r="S511" s="1037"/>
      <c r="T511" s="1037"/>
      <c r="U511" s="1037"/>
      <c r="V511" s="1037"/>
      <c r="W511" s="1037"/>
      <c r="X511" s="1037"/>
      <c r="Y511" s="1037"/>
      <c r="Z511" s="1037"/>
      <c r="AA511" s="1037"/>
      <c r="AB511" s="1037"/>
      <c r="AC511" s="1037"/>
      <c r="AD511" s="1037"/>
      <c r="AE511" s="1037"/>
      <c r="AF511" s="1037"/>
      <c r="AG511" s="1037"/>
      <c r="AH511" s="1037"/>
      <c r="AI511" s="1037"/>
      <c r="AJ511" s="1037"/>
      <c r="AK511" s="1037"/>
      <c r="AL511" s="1037"/>
      <c r="AM511" s="1037"/>
      <c r="AN511" s="1037"/>
      <c r="AO511" s="1037"/>
      <c r="AP511" s="1037"/>
    </row>
    <row r="512" spans="1:42" s="226" customFormat="1">
      <c r="A512" s="2060"/>
      <c r="B512" s="1037"/>
      <c r="C512" s="1037"/>
      <c r="D512" s="1037"/>
      <c r="E512" s="1037"/>
      <c r="F512" s="1037"/>
      <c r="G512" s="1037"/>
      <c r="H512" s="1018"/>
      <c r="I512" s="1037"/>
      <c r="J512" s="1037"/>
      <c r="K512" s="1037"/>
      <c r="L512" s="1037"/>
      <c r="M512" s="1037"/>
      <c r="N512" s="1037"/>
      <c r="O512" s="1037"/>
      <c r="P512" s="1037"/>
      <c r="Q512" s="1037"/>
      <c r="R512" s="1037"/>
      <c r="S512" s="1037"/>
      <c r="T512" s="1037"/>
      <c r="U512" s="1037"/>
      <c r="V512" s="1037"/>
      <c r="W512" s="1037"/>
      <c r="X512" s="1037"/>
      <c r="Y512" s="1037"/>
      <c r="Z512" s="1037"/>
      <c r="AA512" s="1037"/>
      <c r="AB512" s="1037"/>
      <c r="AC512" s="1037"/>
      <c r="AD512" s="1037"/>
      <c r="AE512" s="1037"/>
      <c r="AF512" s="1037"/>
      <c r="AG512" s="1037"/>
      <c r="AH512" s="1037"/>
      <c r="AI512" s="1037"/>
      <c r="AJ512" s="1037"/>
      <c r="AK512" s="1037"/>
      <c r="AL512" s="1037"/>
      <c r="AM512" s="1037"/>
      <c r="AN512" s="1037"/>
      <c r="AO512" s="1037"/>
      <c r="AP512" s="1037"/>
    </row>
    <row r="513" spans="1:42" s="226" customFormat="1">
      <c r="A513" s="2060"/>
      <c r="B513" s="1037"/>
      <c r="C513" s="1037"/>
      <c r="D513" s="1037"/>
      <c r="E513" s="1037"/>
      <c r="F513" s="1037"/>
      <c r="G513" s="1037"/>
      <c r="H513" s="1018"/>
      <c r="I513" s="1037"/>
      <c r="J513" s="1037"/>
      <c r="K513" s="1037"/>
      <c r="L513" s="1037"/>
      <c r="M513" s="1037"/>
      <c r="N513" s="1037"/>
      <c r="O513" s="1037"/>
      <c r="P513" s="1037"/>
      <c r="Q513" s="1037"/>
      <c r="R513" s="1037"/>
      <c r="S513" s="1037"/>
      <c r="T513" s="1037"/>
      <c r="U513" s="1037"/>
      <c r="V513" s="1037"/>
      <c r="W513" s="1037"/>
      <c r="X513" s="1037"/>
      <c r="Y513" s="1037"/>
      <c r="Z513" s="1037"/>
      <c r="AA513" s="1037"/>
      <c r="AB513" s="1037"/>
      <c r="AC513" s="1037"/>
      <c r="AD513" s="1037"/>
      <c r="AE513" s="1037"/>
      <c r="AF513" s="1037"/>
      <c r="AG513" s="1037"/>
      <c r="AH513" s="1037"/>
      <c r="AI513" s="1037"/>
      <c r="AJ513" s="1037"/>
      <c r="AK513" s="1037"/>
      <c r="AL513" s="1037"/>
      <c r="AM513" s="1037"/>
      <c r="AN513" s="1037"/>
      <c r="AO513" s="1037"/>
      <c r="AP513" s="1037"/>
    </row>
    <row r="514" spans="1:42" s="226" customFormat="1">
      <c r="A514" s="2060"/>
      <c r="B514" s="1037"/>
      <c r="C514" s="1037"/>
      <c r="D514" s="1037"/>
      <c r="E514" s="1037"/>
      <c r="F514" s="1037"/>
      <c r="G514" s="1037"/>
      <c r="H514" s="1018"/>
      <c r="I514" s="1037"/>
      <c r="J514" s="1037"/>
      <c r="K514" s="1037"/>
      <c r="L514" s="1037"/>
      <c r="M514" s="1037"/>
      <c r="N514" s="1037"/>
      <c r="O514" s="1037"/>
      <c r="P514" s="1037"/>
      <c r="Q514" s="1037"/>
      <c r="R514" s="1037"/>
      <c r="S514" s="1037"/>
      <c r="T514" s="1037"/>
      <c r="U514" s="1037"/>
      <c r="V514" s="1037"/>
      <c r="W514" s="1037"/>
      <c r="X514" s="1037"/>
      <c r="Y514" s="1037"/>
      <c r="Z514" s="1037"/>
      <c r="AA514" s="1037"/>
      <c r="AB514" s="1037"/>
      <c r="AC514" s="1037"/>
      <c r="AD514" s="1037"/>
      <c r="AE514" s="1037"/>
      <c r="AF514" s="1037"/>
      <c r="AG514" s="1037"/>
      <c r="AH514" s="1037"/>
      <c r="AI514" s="1037"/>
      <c r="AJ514" s="1037"/>
      <c r="AK514" s="1037"/>
      <c r="AL514" s="1037"/>
      <c r="AM514" s="1037"/>
      <c r="AN514" s="1037"/>
      <c r="AO514" s="1037"/>
      <c r="AP514" s="1037"/>
    </row>
    <row r="515" spans="1:42" s="226" customFormat="1">
      <c r="A515" s="2060"/>
      <c r="B515" s="1037"/>
      <c r="C515" s="1037"/>
      <c r="D515" s="1037"/>
      <c r="E515" s="1037"/>
      <c r="F515" s="1037"/>
      <c r="G515" s="1037"/>
      <c r="H515" s="1018"/>
      <c r="I515" s="1037"/>
      <c r="J515" s="1037"/>
      <c r="K515" s="1037"/>
      <c r="L515" s="1037"/>
      <c r="M515" s="1037"/>
      <c r="N515" s="1037"/>
      <c r="O515" s="1037"/>
      <c r="P515" s="1037"/>
      <c r="Q515" s="1037"/>
      <c r="R515" s="1037"/>
      <c r="S515" s="1037"/>
      <c r="T515" s="1037"/>
      <c r="U515" s="1037"/>
      <c r="V515" s="1037"/>
      <c r="W515" s="1037"/>
      <c r="X515" s="1037"/>
      <c r="Y515" s="1037"/>
      <c r="Z515" s="1037"/>
      <c r="AA515" s="1037"/>
      <c r="AB515" s="1037"/>
      <c r="AC515" s="1037"/>
      <c r="AD515" s="1037"/>
      <c r="AE515" s="1037"/>
      <c r="AF515" s="1037"/>
      <c r="AG515" s="1037"/>
      <c r="AH515" s="1037"/>
      <c r="AI515" s="1037"/>
      <c r="AJ515" s="1037"/>
      <c r="AK515" s="1037"/>
      <c r="AL515" s="1037"/>
      <c r="AM515" s="1037"/>
      <c r="AN515" s="1037"/>
      <c r="AO515" s="1037"/>
      <c r="AP515" s="1037"/>
    </row>
    <row r="516" spans="1:42" s="226" customFormat="1">
      <c r="A516" s="2060"/>
      <c r="B516" s="1037"/>
      <c r="C516" s="1037"/>
      <c r="D516" s="1037"/>
      <c r="E516" s="1037"/>
      <c r="F516" s="1037"/>
      <c r="G516" s="1037"/>
      <c r="H516" s="1018"/>
      <c r="I516" s="1037"/>
      <c r="J516" s="1037"/>
      <c r="K516" s="1037"/>
      <c r="L516" s="1037"/>
      <c r="M516" s="1037"/>
      <c r="N516" s="1037"/>
      <c r="O516" s="1037"/>
      <c r="P516" s="1037"/>
      <c r="Q516" s="1037"/>
      <c r="R516" s="1037"/>
      <c r="S516" s="1037"/>
      <c r="T516" s="1037"/>
      <c r="U516" s="1037"/>
      <c r="V516" s="1037"/>
      <c r="W516" s="1037"/>
      <c r="X516" s="1037"/>
      <c r="Y516" s="1037"/>
      <c r="Z516" s="1037"/>
      <c r="AA516" s="1037"/>
      <c r="AB516" s="1037"/>
      <c r="AC516" s="1037"/>
      <c r="AD516" s="1037"/>
      <c r="AE516" s="1037"/>
      <c r="AF516" s="1037"/>
      <c r="AG516" s="1037"/>
      <c r="AH516" s="1037"/>
      <c r="AI516" s="1037"/>
      <c r="AJ516" s="1037"/>
      <c r="AK516" s="1037"/>
      <c r="AL516" s="1037"/>
      <c r="AM516" s="1037"/>
      <c r="AN516" s="1037"/>
      <c r="AO516" s="1037"/>
      <c r="AP516" s="1037"/>
    </row>
    <row r="517" spans="1:42" s="226" customFormat="1">
      <c r="A517" s="2060"/>
      <c r="B517" s="1037"/>
      <c r="C517" s="1037"/>
      <c r="D517" s="1037"/>
      <c r="E517" s="1037"/>
      <c r="F517" s="1037"/>
      <c r="G517" s="1037"/>
      <c r="H517" s="1018"/>
      <c r="I517" s="1037"/>
      <c r="J517" s="1037"/>
      <c r="K517" s="1037"/>
      <c r="L517" s="1037"/>
      <c r="M517" s="1037"/>
      <c r="N517" s="1037"/>
      <c r="O517" s="1037"/>
      <c r="P517" s="1037"/>
      <c r="Q517" s="1037"/>
      <c r="R517" s="1037"/>
      <c r="S517" s="1037"/>
      <c r="T517" s="1037"/>
      <c r="U517" s="1037"/>
      <c r="V517" s="1037"/>
      <c r="W517" s="1037"/>
      <c r="X517" s="1037"/>
      <c r="Y517" s="1037"/>
      <c r="Z517" s="1037"/>
      <c r="AA517" s="1037"/>
      <c r="AB517" s="1037"/>
      <c r="AC517" s="1037"/>
      <c r="AD517" s="1037"/>
      <c r="AE517" s="1037"/>
      <c r="AF517" s="1037"/>
      <c r="AG517" s="1037"/>
      <c r="AH517" s="1037"/>
      <c r="AI517" s="1037"/>
      <c r="AJ517" s="1037"/>
      <c r="AK517" s="1037"/>
      <c r="AL517" s="1037"/>
      <c r="AM517" s="1037"/>
      <c r="AN517" s="1037"/>
      <c r="AO517" s="1037"/>
      <c r="AP517" s="1037"/>
    </row>
    <row r="518" spans="1:42" s="226" customFormat="1">
      <c r="A518" s="2060"/>
      <c r="B518" s="1037"/>
      <c r="C518" s="1037"/>
      <c r="D518" s="1037"/>
      <c r="E518" s="1037"/>
      <c r="F518" s="1037"/>
      <c r="G518" s="1037"/>
      <c r="H518" s="1018"/>
      <c r="I518" s="1037"/>
      <c r="J518" s="1037"/>
      <c r="K518" s="1037"/>
      <c r="L518" s="1037"/>
      <c r="M518" s="1037"/>
      <c r="N518" s="1037"/>
      <c r="O518" s="1037"/>
      <c r="P518" s="1037"/>
      <c r="Q518" s="1037"/>
      <c r="R518" s="1037"/>
      <c r="S518" s="1037"/>
      <c r="T518" s="1037"/>
      <c r="U518" s="1037"/>
      <c r="V518" s="1037"/>
      <c r="W518" s="1037"/>
      <c r="X518" s="1037"/>
      <c r="Y518" s="1037"/>
      <c r="Z518" s="1037"/>
      <c r="AA518" s="1037"/>
      <c r="AB518" s="1037"/>
      <c r="AC518" s="1037"/>
      <c r="AD518" s="1037"/>
      <c r="AE518" s="1037"/>
      <c r="AF518" s="1037"/>
      <c r="AG518" s="1037"/>
      <c r="AH518" s="1037"/>
      <c r="AI518" s="1037"/>
      <c r="AJ518" s="1037"/>
      <c r="AK518" s="1037"/>
      <c r="AL518" s="1037"/>
      <c r="AM518" s="1037"/>
      <c r="AN518" s="1037"/>
      <c r="AO518" s="1037"/>
      <c r="AP518" s="1037"/>
    </row>
    <row r="519" spans="1:42" s="226" customFormat="1">
      <c r="A519" s="2060"/>
      <c r="B519" s="1037"/>
      <c r="C519" s="1037"/>
      <c r="D519" s="1037"/>
      <c r="E519" s="1037"/>
      <c r="F519" s="1037"/>
      <c r="G519" s="1037"/>
      <c r="H519" s="1018"/>
      <c r="I519" s="1037"/>
      <c r="J519" s="1037"/>
      <c r="K519" s="1037"/>
      <c r="L519" s="1037"/>
      <c r="M519" s="1037"/>
      <c r="N519" s="1037"/>
      <c r="O519" s="1037"/>
      <c r="P519" s="1037"/>
      <c r="Q519" s="1037"/>
      <c r="R519" s="1037"/>
      <c r="S519" s="1037"/>
      <c r="T519" s="1037"/>
      <c r="U519" s="1037"/>
      <c r="V519" s="1037"/>
      <c r="W519" s="1037"/>
      <c r="X519" s="1037"/>
      <c r="Y519" s="1037"/>
      <c r="Z519" s="1037"/>
      <c r="AA519" s="1037"/>
      <c r="AB519" s="1037"/>
      <c r="AC519" s="1037"/>
      <c r="AD519" s="1037"/>
      <c r="AE519" s="1037"/>
      <c r="AF519" s="1037"/>
      <c r="AG519" s="1037"/>
      <c r="AH519" s="1037"/>
      <c r="AI519" s="1037"/>
      <c r="AJ519" s="1037"/>
      <c r="AK519" s="1037"/>
      <c r="AL519" s="1037"/>
      <c r="AM519" s="1037"/>
      <c r="AN519" s="1037"/>
      <c r="AO519" s="1037"/>
      <c r="AP519" s="1037"/>
    </row>
    <row r="520" spans="1:42" s="226" customFormat="1">
      <c r="A520" s="2060"/>
      <c r="B520" s="1037"/>
      <c r="C520" s="1037"/>
      <c r="D520" s="1037"/>
      <c r="E520" s="1037"/>
      <c r="F520" s="1037"/>
      <c r="G520" s="1037"/>
      <c r="H520" s="1018"/>
      <c r="I520" s="1037"/>
      <c r="J520" s="1037"/>
      <c r="K520" s="1037"/>
      <c r="L520" s="1037"/>
      <c r="M520" s="1037"/>
      <c r="N520" s="1037"/>
      <c r="O520" s="1037"/>
      <c r="P520" s="1037"/>
      <c r="Q520" s="1037"/>
      <c r="R520" s="1037"/>
      <c r="S520" s="1037"/>
      <c r="T520" s="1037"/>
      <c r="U520" s="1037"/>
      <c r="V520" s="1037"/>
      <c r="W520" s="1037"/>
      <c r="X520" s="1037"/>
      <c r="Y520" s="1037"/>
      <c r="Z520" s="1037"/>
      <c r="AA520" s="1037"/>
      <c r="AB520" s="1037"/>
      <c r="AC520" s="1037"/>
      <c r="AD520" s="1037"/>
      <c r="AE520" s="1037"/>
      <c r="AF520" s="1037"/>
      <c r="AG520" s="1037"/>
      <c r="AH520" s="1037"/>
      <c r="AI520" s="1037"/>
      <c r="AJ520" s="1037"/>
      <c r="AK520" s="1037"/>
      <c r="AL520" s="1037"/>
      <c r="AM520" s="1037"/>
      <c r="AN520" s="1037"/>
      <c r="AO520" s="1037"/>
      <c r="AP520" s="1037"/>
    </row>
    <row r="521" spans="1:42" s="226" customFormat="1">
      <c r="A521" s="2060"/>
      <c r="B521" s="1037"/>
      <c r="C521" s="1037"/>
      <c r="D521" s="1037"/>
      <c r="E521" s="1037"/>
      <c r="F521" s="1037"/>
      <c r="G521" s="1037"/>
      <c r="H521" s="1018"/>
      <c r="I521" s="1037"/>
      <c r="J521" s="1037"/>
      <c r="K521" s="1037"/>
      <c r="L521" s="1037"/>
      <c r="M521" s="1037"/>
      <c r="N521" s="1037"/>
      <c r="O521" s="1037"/>
      <c r="P521" s="1037"/>
      <c r="Q521" s="1037"/>
      <c r="R521" s="1037"/>
      <c r="S521" s="1037"/>
      <c r="T521" s="1037"/>
      <c r="U521" s="1037"/>
      <c r="V521" s="1037"/>
      <c r="W521" s="1037"/>
      <c r="X521" s="1037"/>
      <c r="Y521" s="1037"/>
      <c r="Z521" s="1037"/>
      <c r="AA521" s="1037"/>
      <c r="AB521" s="1037"/>
      <c r="AC521" s="1037"/>
      <c r="AD521" s="1037"/>
      <c r="AE521" s="1037"/>
      <c r="AF521" s="1037"/>
      <c r="AG521" s="1037"/>
      <c r="AH521" s="1037"/>
      <c r="AI521" s="1037"/>
      <c r="AJ521" s="1037"/>
      <c r="AK521" s="1037"/>
      <c r="AL521" s="1037"/>
      <c r="AM521" s="1037"/>
      <c r="AN521" s="1037"/>
      <c r="AO521" s="1037"/>
      <c r="AP521" s="1037"/>
    </row>
    <row r="522" spans="1:42" s="226" customFormat="1">
      <c r="A522" s="2060"/>
      <c r="B522" s="1037"/>
      <c r="C522" s="1037"/>
      <c r="D522" s="1037"/>
      <c r="E522" s="1037"/>
      <c r="F522" s="1037"/>
      <c r="G522" s="1037"/>
      <c r="H522" s="1018"/>
      <c r="I522" s="1037"/>
      <c r="J522" s="1037"/>
      <c r="K522" s="1037"/>
      <c r="L522" s="1037"/>
      <c r="M522" s="1037"/>
      <c r="N522" s="1037"/>
      <c r="O522" s="1037"/>
      <c r="P522" s="1037"/>
      <c r="Q522" s="1037"/>
      <c r="R522" s="1037"/>
      <c r="S522" s="1037"/>
      <c r="T522" s="1037"/>
      <c r="U522" s="1037"/>
      <c r="V522" s="1037"/>
      <c r="W522" s="1037"/>
      <c r="X522" s="1037"/>
      <c r="Y522" s="1037"/>
      <c r="Z522" s="1037"/>
      <c r="AA522" s="1037"/>
      <c r="AB522" s="1037"/>
      <c r="AC522" s="1037"/>
      <c r="AD522" s="1037"/>
      <c r="AE522" s="1037"/>
      <c r="AF522" s="1037"/>
      <c r="AG522" s="1037"/>
      <c r="AH522" s="1037"/>
      <c r="AI522" s="1037"/>
      <c r="AJ522" s="1037"/>
      <c r="AK522" s="1037"/>
      <c r="AL522" s="1037"/>
      <c r="AM522" s="1037"/>
      <c r="AN522" s="1037"/>
      <c r="AO522" s="1037"/>
      <c r="AP522" s="1037"/>
    </row>
    <row r="523" spans="1:42" s="226" customFormat="1">
      <c r="A523" s="2060"/>
      <c r="B523" s="1037"/>
      <c r="C523" s="1037"/>
      <c r="D523" s="1037"/>
      <c r="E523" s="1037"/>
      <c r="F523" s="1037"/>
      <c r="G523" s="1037"/>
      <c r="H523" s="1018"/>
      <c r="I523" s="1037"/>
      <c r="J523" s="1037"/>
      <c r="K523" s="1037"/>
      <c r="L523" s="1037"/>
      <c r="M523" s="1037"/>
      <c r="N523" s="1037"/>
      <c r="O523" s="1037"/>
      <c r="P523" s="1037"/>
      <c r="Q523" s="1037"/>
      <c r="R523" s="1037"/>
      <c r="S523" s="1037"/>
      <c r="T523" s="1037"/>
      <c r="U523" s="1037"/>
      <c r="V523" s="1037"/>
      <c r="W523" s="1037"/>
      <c r="X523" s="1037"/>
      <c r="Y523" s="1037"/>
      <c r="Z523" s="1037"/>
      <c r="AA523" s="1037"/>
      <c r="AB523" s="1037"/>
      <c r="AC523" s="1037"/>
      <c r="AD523" s="1037"/>
      <c r="AE523" s="1037"/>
      <c r="AF523" s="1037"/>
      <c r="AG523" s="1037"/>
      <c r="AH523" s="1037"/>
      <c r="AI523" s="1037"/>
      <c r="AJ523" s="1037"/>
      <c r="AK523" s="1037"/>
      <c r="AL523" s="1037"/>
      <c r="AM523" s="1037"/>
      <c r="AN523" s="1037"/>
      <c r="AO523" s="1037"/>
      <c r="AP523" s="1037"/>
    </row>
    <row r="524" spans="1:42" s="226" customFormat="1">
      <c r="A524" s="2060"/>
      <c r="B524" s="1037"/>
      <c r="C524" s="1037"/>
      <c r="D524" s="1037"/>
      <c r="E524" s="1037"/>
      <c r="F524" s="1037"/>
      <c r="G524" s="1037"/>
      <c r="H524" s="1018"/>
      <c r="I524" s="1037"/>
      <c r="J524" s="1037"/>
      <c r="K524" s="1037"/>
      <c r="L524" s="1037"/>
      <c r="M524" s="1037"/>
      <c r="N524" s="1037"/>
      <c r="O524" s="1037"/>
      <c r="P524" s="1037"/>
      <c r="Q524" s="1037"/>
      <c r="R524" s="1037"/>
      <c r="S524" s="1037"/>
      <c r="T524" s="1037"/>
      <c r="U524" s="1037"/>
      <c r="V524" s="1037"/>
      <c r="W524" s="1037"/>
      <c r="X524" s="1037"/>
      <c r="Y524" s="1037"/>
      <c r="Z524" s="1037"/>
      <c r="AA524" s="1037"/>
      <c r="AB524" s="1037"/>
      <c r="AC524" s="1037"/>
      <c r="AD524" s="1037"/>
      <c r="AE524" s="1037"/>
      <c r="AF524" s="1037"/>
      <c r="AG524" s="1037"/>
      <c r="AH524" s="1037"/>
      <c r="AI524" s="1037"/>
      <c r="AJ524" s="1037"/>
      <c r="AK524" s="1037"/>
      <c r="AL524" s="1037"/>
      <c r="AM524" s="1037"/>
      <c r="AN524" s="1037"/>
      <c r="AO524" s="1037"/>
      <c r="AP524" s="1037"/>
    </row>
    <row r="525" spans="1:42" s="226" customFormat="1">
      <c r="A525" s="2060"/>
      <c r="B525" s="1037"/>
      <c r="C525" s="1037"/>
      <c r="D525" s="1037"/>
      <c r="E525" s="1037"/>
      <c r="F525" s="1037"/>
      <c r="G525" s="1037"/>
      <c r="H525" s="1018"/>
      <c r="I525" s="1037"/>
      <c r="J525" s="1037"/>
      <c r="K525" s="1037"/>
      <c r="L525" s="1037"/>
      <c r="M525" s="1037"/>
      <c r="N525" s="1037"/>
      <c r="O525" s="1037"/>
      <c r="P525" s="1037"/>
      <c r="Q525" s="1037"/>
      <c r="R525" s="1037"/>
      <c r="S525" s="1037"/>
      <c r="T525" s="1037"/>
      <c r="U525" s="1037"/>
      <c r="V525" s="1037"/>
      <c r="W525" s="1037"/>
      <c r="X525" s="1037"/>
      <c r="Y525" s="1037"/>
      <c r="Z525" s="1037"/>
      <c r="AA525" s="1037"/>
      <c r="AB525" s="1037"/>
      <c r="AC525" s="1037"/>
      <c r="AD525" s="1037"/>
      <c r="AE525" s="1037"/>
      <c r="AF525" s="1037"/>
      <c r="AG525" s="1037"/>
      <c r="AH525" s="1037"/>
      <c r="AI525" s="1037"/>
      <c r="AJ525" s="1037"/>
      <c r="AK525" s="1037"/>
      <c r="AL525" s="1037"/>
      <c r="AM525" s="1037"/>
      <c r="AN525" s="1037"/>
      <c r="AO525" s="1037"/>
      <c r="AP525" s="1037"/>
    </row>
    <row r="526" spans="1:42" s="226" customFormat="1">
      <c r="A526" s="2060"/>
      <c r="B526" s="1037"/>
      <c r="C526" s="1037"/>
      <c r="D526" s="1037"/>
      <c r="E526" s="1037"/>
      <c r="F526" s="1037"/>
      <c r="G526" s="1037"/>
      <c r="H526" s="1018"/>
      <c r="I526" s="1037"/>
      <c r="J526" s="1037"/>
      <c r="K526" s="1037"/>
      <c r="L526" s="1037"/>
      <c r="M526" s="1037"/>
      <c r="N526" s="1037"/>
      <c r="O526" s="1037"/>
      <c r="P526" s="1037"/>
      <c r="Q526" s="1037"/>
      <c r="R526" s="1037"/>
      <c r="S526" s="1037"/>
      <c r="T526" s="1037"/>
      <c r="U526" s="1037"/>
      <c r="V526" s="1037"/>
      <c r="W526" s="1037"/>
      <c r="X526" s="1037"/>
      <c r="Y526" s="1037"/>
      <c r="Z526" s="1037"/>
      <c r="AA526" s="1037"/>
      <c r="AB526" s="1037"/>
      <c r="AC526" s="1037"/>
      <c r="AD526" s="1037"/>
      <c r="AE526" s="1037"/>
      <c r="AF526" s="1037"/>
      <c r="AG526" s="1037"/>
      <c r="AH526" s="1037"/>
      <c r="AI526" s="1037"/>
      <c r="AJ526" s="1037"/>
      <c r="AK526" s="1037"/>
      <c r="AL526" s="1037"/>
      <c r="AM526" s="1037"/>
      <c r="AN526" s="1037"/>
      <c r="AO526" s="1037"/>
      <c r="AP526" s="1037"/>
    </row>
    <row r="527" spans="1:42" s="226" customFormat="1">
      <c r="A527" s="2060"/>
      <c r="B527" s="1037"/>
      <c r="C527" s="1037"/>
      <c r="D527" s="1037"/>
      <c r="E527" s="1037"/>
      <c r="F527" s="1037"/>
      <c r="G527" s="1037"/>
      <c r="H527" s="1018"/>
      <c r="I527" s="1037"/>
      <c r="J527" s="1037"/>
      <c r="K527" s="1037"/>
      <c r="L527" s="1037"/>
      <c r="M527" s="1037"/>
      <c r="N527" s="1037"/>
      <c r="O527" s="1037"/>
      <c r="P527" s="1037"/>
      <c r="Q527" s="1037"/>
      <c r="R527" s="1037"/>
      <c r="S527" s="1037"/>
      <c r="T527" s="1037"/>
      <c r="U527" s="1037"/>
      <c r="V527" s="1037"/>
      <c r="W527" s="1037"/>
      <c r="X527" s="1037"/>
      <c r="Y527" s="1037"/>
      <c r="Z527" s="1037"/>
      <c r="AA527" s="1037"/>
      <c r="AB527" s="1037"/>
      <c r="AC527" s="1037"/>
      <c r="AD527" s="1037"/>
      <c r="AE527" s="1037"/>
      <c r="AF527" s="1037"/>
      <c r="AG527" s="1037"/>
      <c r="AH527" s="1037"/>
      <c r="AI527" s="1037"/>
      <c r="AJ527" s="1037"/>
      <c r="AK527" s="1037"/>
      <c r="AL527" s="1037"/>
      <c r="AM527" s="1037"/>
      <c r="AN527" s="1037"/>
      <c r="AO527" s="1037"/>
      <c r="AP527" s="1037"/>
    </row>
    <row r="528" spans="1:42" s="226" customFormat="1">
      <c r="A528" s="2060"/>
      <c r="B528" s="1037"/>
      <c r="C528" s="1037"/>
      <c r="D528" s="1037"/>
      <c r="E528" s="1037"/>
      <c r="F528" s="1037"/>
      <c r="G528" s="1037"/>
      <c r="H528" s="1018"/>
      <c r="I528" s="1037"/>
      <c r="J528" s="1037"/>
      <c r="K528" s="1037"/>
      <c r="L528" s="1037"/>
      <c r="M528" s="1037"/>
      <c r="N528" s="1037"/>
      <c r="O528" s="1037"/>
      <c r="P528" s="1037"/>
      <c r="Q528" s="1037"/>
      <c r="R528" s="1037"/>
      <c r="S528" s="1037"/>
      <c r="T528" s="1037"/>
      <c r="U528" s="1037"/>
      <c r="V528" s="1037"/>
      <c r="W528" s="1037"/>
      <c r="X528" s="1037"/>
      <c r="Y528" s="1037"/>
      <c r="Z528" s="1037"/>
      <c r="AA528" s="1037"/>
      <c r="AB528" s="1037"/>
      <c r="AC528" s="1037"/>
      <c r="AD528" s="1037"/>
      <c r="AE528" s="1037"/>
      <c r="AF528" s="1037"/>
      <c r="AG528" s="1037"/>
      <c r="AH528" s="1037"/>
      <c r="AI528" s="1037"/>
      <c r="AJ528" s="1037"/>
      <c r="AK528" s="1037"/>
      <c r="AL528" s="1037"/>
      <c r="AM528" s="1037"/>
      <c r="AN528" s="1037"/>
      <c r="AO528" s="1037"/>
      <c r="AP528" s="1037"/>
    </row>
    <row r="529" spans="1:42" s="226" customFormat="1">
      <c r="A529" s="2060"/>
      <c r="B529" s="1037"/>
      <c r="C529" s="1037"/>
      <c r="D529" s="1037"/>
      <c r="E529" s="1037"/>
      <c r="F529" s="1037"/>
      <c r="G529" s="1037"/>
      <c r="H529" s="1018"/>
      <c r="I529" s="1037"/>
      <c r="J529" s="1037"/>
      <c r="K529" s="1037"/>
      <c r="L529" s="1037"/>
      <c r="M529" s="1037"/>
      <c r="N529" s="1037"/>
      <c r="O529" s="1037"/>
      <c r="P529" s="1037"/>
      <c r="Q529" s="1037"/>
      <c r="R529" s="1037"/>
      <c r="S529" s="1037"/>
      <c r="T529" s="1037"/>
      <c r="U529" s="1037"/>
      <c r="V529" s="1037"/>
      <c r="W529" s="1037"/>
      <c r="X529" s="1037"/>
      <c r="Y529" s="1037"/>
      <c r="Z529" s="1037"/>
      <c r="AA529" s="1037"/>
      <c r="AB529" s="1037"/>
      <c r="AC529" s="1037"/>
      <c r="AD529" s="1037"/>
      <c r="AE529" s="1037"/>
      <c r="AF529" s="1037"/>
      <c r="AG529" s="1037"/>
      <c r="AH529" s="1037"/>
      <c r="AI529" s="1037"/>
      <c r="AJ529" s="1037"/>
      <c r="AK529" s="1037"/>
      <c r="AL529" s="1037"/>
      <c r="AM529" s="1037"/>
      <c r="AN529" s="1037"/>
      <c r="AO529" s="1037"/>
      <c r="AP529" s="1037"/>
    </row>
    <row r="530" spans="1:42" s="226" customFormat="1">
      <c r="A530" s="2060"/>
      <c r="B530" s="1037"/>
      <c r="C530" s="1037"/>
      <c r="D530" s="1037"/>
      <c r="E530" s="1037"/>
      <c r="F530" s="1037"/>
      <c r="G530" s="1037"/>
      <c r="H530" s="1018"/>
      <c r="I530" s="1037"/>
      <c r="J530" s="1037"/>
      <c r="K530" s="1037"/>
      <c r="L530" s="1037"/>
      <c r="M530" s="1037"/>
      <c r="N530" s="1037"/>
      <c r="O530" s="1037"/>
      <c r="P530" s="1037"/>
      <c r="Q530" s="1037"/>
      <c r="R530" s="1037"/>
      <c r="S530" s="1037"/>
      <c r="T530" s="1037"/>
      <c r="U530" s="1037"/>
      <c r="V530" s="1037"/>
      <c r="W530" s="1037"/>
      <c r="X530" s="1037"/>
      <c r="Y530" s="1037"/>
      <c r="Z530" s="1037"/>
      <c r="AA530" s="1037"/>
      <c r="AB530" s="1037"/>
      <c r="AC530" s="1037"/>
      <c r="AD530" s="1037"/>
      <c r="AE530" s="1037"/>
      <c r="AF530" s="1037"/>
      <c r="AG530" s="1037"/>
      <c r="AH530" s="1037"/>
      <c r="AI530" s="1037"/>
      <c r="AJ530" s="1037"/>
      <c r="AK530" s="1037"/>
      <c r="AL530" s="1037"/>
      <c r="AM530" s="1037"/>
      <c r="AN530" s="1037"/>
      <c r="AO530" s="1037"/>
      <c r="AP530" s="1037"/>
    </row>
    <row r="531" spans="1:42" s="226" customFormat="1">
      <c r="A531" s="2060"/>
      <c r="B531" s="1037"/>
      <c r="C531" s="1037"/>
      <c r="D531" s="1037"/>
      <c r="E531" s="1037"/>
      <c r="F531" s="1037"/>
      <c r="G531" s="1037"/>
      <c r="H531" s="1018"/>
      <c r="I531" s="1037"/>
      <c r="J531" s="1037"/>
      <c r="K531" s="1037"/>
      <c r="L531" s="1037"/>
      <c r="M531" s="1037"/>
      <c r="N531" s="1037"/>
      <c r="O531" s="1037"/>
      <c r="P531" s="1037"/>
      <c r="Q531" s="1037"/>
      <c r="R531" s="1037"/>
      <c r="S531" s="1037"/>
      <c r="T531" s="1037"/>
      <c r="U531" s="1037"/>
      <c r="V531" s="1037"/>
      <c r="W531" s="1037"/>
      <c r="X531" s="1037"/>
      <c r="Y531" s="1037"/>
      <c r="Z531" s="1037"/>
      <c r="AA531" s="1037"/>
      <c r="AB531" s="1037"/>
      <c r="AC531" s="1037"/>
      <c r="AD531" s="1037"/>
      <c r="AE531" s="1037"/>
      <c r="AF531" s="1037"/>
      <c r="AG531" s="1037"/>
      <c r="AH531" s="1037"/>
      <c r="AI531" s="1037"/>
      <c r="AJ531" s="1037"/>
      <c r="AK531" s="1037"/>
      <c r="AL531" s="1037"/>
      <c r="AM531" s="1037"/>
      <c r="AN531" s="1037"/>
      <c r="AO531" s="1037"/>
      <c r="AP531" s="1037"/>
    </row>
    <row r="532" spans="1:42" s="226" customFormat="1">
      <c r="A532" s="2060"/>
      <c r="B532" s="1037"/>
      <c r="C532" s="1037"/>
      <c r="D532" s="1037"/>
      <c r="E532" s="1037"/>
      <c r="F532" s="1037"/>
      <c r="G532" s="1037"/>
      <c r="H532" s="1018"/>
      <c r="I532" s="1037"/>
      <c r="J532" s="1037"/>
      <c r="K532" s="1037"/>
      <c r="L532" s="1037"/>
      <c r="M532" s="1037"/>
      <c r="N532" s="1037"/>
      <c r="O532" s="1037"/>
      <c r="P532" s="1037"/>
      <c r="Q532" s="1037"/>
      <c r="R532" s="1037"/>
      <c r="S532" s="1037"/>
      <c r="T532" s="1037"/>
      <c r="U532" s="1037"/>
      <c r="V532" s="1037"/>
      <c r="W532" s="1037"/>
      <c r="X532" s="1037"/>
      <c r="Y532" s="1037"/>
      <c r="Z532" s="1037"/>
      <c r="AA532" s="1037"/>
      <c r="AB532" s="1037"/>
      <c r="AC532" s="1037"/>
      <c r="AD532" s="1037"/>
      <c r="AE532" s="1037"/>
      <c r="AF532" s="1037"/>
      <c r="AG532" s="1037"/>
      <c r="AH532" s="1037"/>
      <c r="AI532" s="1037"/>
      <c r="AJ532" s="1037"/>
      <c r="AK532" s="1037"/>
      <c r="AL532" s="1037"/>
      <c r="AM532" s="1037"/>
      <c r="AN532" s="1037"/>
      <c r="AO532" s="1037"/>
      <c r="AP532" s="1037"/>
    </row>
    <row r="533" spans="1:42" s="226" customFormat="1">
      <c r="A533" s="2060"/>
      <c r="B533" s="1037"/>
      <c r="C533" s="1037"/>
      <c r="D533" s="1037"/>
      <c r="E533" s="1037"/>
      <c r="F533" s="1037"/>
      <c r="G533" s="1037"/>
      <c r="H533" s="1018"/>
      <c r="I533" s="1037"/>
      <c r="J533" s="1037"/>
      <c r="K533" s="1037"/>
      <c r="L533" s="1037"/>
      <c r="M533" s="1037"/>
      <c r="N533" s="1037"/>
      <c r="O533" s="1037"/>
      <c r="P533" s="1037"/>
      <c r="Q533" s="1037"/>
      <c r="R533" s="1037"/>
      <c r="S533" s="1037"/>
      <c r="T533" s="1037"/>
      <c r="U533" s="1037"/>
      <c r="V533" s="1037"/>
      <c r="W533" s="1037"/>
      <c r="X533" s="1037"/>
      <c r="Y533" s="1037"/>
      <c r="Z533" s="1037"/>
      <c r="AA533" s="1037"/>
      <c r="AB533" s="1037"/>
      <c r="AC533" s="1037"/>
      <c r="AD533" s="1037"/>
      <c r="AE533" s="1037"/>
      <c r="AF533" s="1037"/>
      <c r="AG533" s="1037"/>
      <c r="AH533" s="1037"/>
      <c r="AI533" s="1037"/>
      <c r="AJ533" s="1037"/>
      <c r="AK533" s="1037"/>
      <c r="AL533" s="1037"/>
      <c r="AM533" s="1037"/>
      <c r="AN533" s="1037"/>
      <c r="AO533" s="1037"/>
      <c r="AP533" s="1037"/>
    </row>
    <row r="534" spans="1:42" s="226" customFormat="1">
      <c r="A534" s="2060"/>
      <c r="B534" s="1037"/>
      <c r="C534" s="1037"/>
      <c r="D534" s="1037"/>
      <c r="E534" s="1037"/>
      <c r="F534" s="1037"/>
      <c r="G534" s="1037"/>
      <c r="H534" s="1018"/>
      <c r="I534" s="1037"/>
      <c r="J534" s="1037"/>
      <c r="K534" s="1037"/>
      <c r="L534" s="1037"/>
      <c r="M534" s="1037"/>
      <c r="N534" s="1037"/>
      <c r="O534" s="1037"/>
      <c r="P534" s="1037"/>
      <c r="Q534" s="1037"/>
      <c r="R534" s="1037"/>
      <c r="S534" s="1037"/>
      <c r="T534" s="1037"/>
      <c r="U534" s="1037"/>
      <c r="V534" s="1037"/>
      <c r="W534" s="1037"/>
      <c r="X534" s="1037"/>
      <c r="Y534" s="1037"/>
      <c r="Z534" s="1037"/>
      <c r="AA534" s="1037"/>
      <c r="AB534" s="1037"/>
      <c r="AC534" s="1037"/>
      <c r="AD534" s="1037"/>
      <c r="AE534" s="1037"/>
      <c r="AF534" s="1037"/>
      <c r="AG534" s="1037"/>
      <c r="AH534" s="1037"/>
      <c r="AI534" s="1037"/>
      <c r="AJ534" s="1037"/>
      <c r="AK534" s="1037"/>
      <c r="AL534" s="1037"/>
      <c r="AM534" s="1037"/>
      <c r="AN534" s="1037"/>
      <c r="AO534" s="1037"/>
      <c r="AP534" s="1037"/>
    </row>
    <row r="535" spans="1:42" s="226" customFormat="1">
      <c r="A535" s="2060"/>
      <c r="B535" s="1037"/>
      <c r="C535" s="1037"/>
      <c r="D535" s="1037"/>
      <c r="E535" s="1037"/>
      <c r="F535" s="1037"/>
      <c r="G535" s="1037"/>
      <c r="H535" s="1018"/>
      <c r="I535" s="1037"/>
      <c r="J535" s="1037"/>
      <c r="K535" s="1037"/>
      <c r="L535" s="1037"/>
      <c r="M535" s="1037"/>
      <c r="N535" s="1037"/>
      <c r="O535" s="1037"/>
      <c r="P535" s="1037"/>
      <c r="Q535" s="1037"/>
      <c r="R535" s="1037"/>
      <c r="S535" s="1037"/>
      <c r="T535" s="1037"/>
      <c r="U535" s="1037"/>
      <c r="V535" s="1037"/>
      <c r="W535" s="1037"/>
      <c r="X535" s="1037"/>
      <c r="Y535" s="1037"/>
      <c r="Z535" s="1037"/>
      <c r="AA535" s="1037"/>
      <c r="AB535" s="1037"/>
      <c r="AC535" s="1037"/>
      <c r="AD535" s="1037"/>
      <c r="AE535" s="1037"/>
      <c r="AF535" s="1037"/>
      <c r="AG535" s="1037"/>
      <c r="AH535" s="1037"/>
      <c r="AI535" s="1037"/>
      <c r="AJ535" s="1037"/>
      <c r="AK535" s="1037"/>
      <c r="AL535" s="1037"/>
      <c r="AM535" s="1037"/>
      <c r="AN535" s="1037"/>
      <c r="AO535" s="1037"/>
      <c r="AP535" s="1037"/>
    </row>
    <row r="536" spans="1:42" s="226" customFormat="1">
      <c r="A536" s="2060"/>
      <c r="B536" s="1037"/>
      <c r="C536" s="1037"/>
      <c r="D536" s="1037"/>
      <c r="E536" s="1037"/>
      <c r="F536" s="1037"/>
      <c r="G536" s="1037"/>
      <c r="H536" s="1018"/>
      <c r="I536" s="1037"/>
      <c r="J536" s="1037"/>
      <c r="K536" s="1037"/>
      <c r="L536" s="1037"/>
      <c r="M536" s="1037"/>
      <c r="N536" s="1037"/>
      <c r="O536" s="1037"/>
      <c r="P536" s="1037"/>
      <c r="Q536" s="1037"/>
      <c r="R536" s="1037"/>
      <c r="S536" s="1037"/>
      <c r="T536" s="1037"/>
      <c r="U536" s="1037"/>
      <c r="V536" s="1037"/>
      <c r="W536" s="1037"/>
      <c r="X536" s="1037"/>
      <c r="Y536" s="1037"/>
      <c r="Z536" s="1037"/>
      <c r="AA536" s="1037"/>
      <c r="AB536" s="1037"/>
      <c r="AC536" s="1037"/>
      <c r="AD536" s="1037"/>
      <c r="AE536" s="1037"/>
      <c r="AF536" s="1037"/>
      <c r="AG536" s="1037"/>
      <c r="AH536" s="1037"/>
      <c r="AI536" s="1037"/>
      <c r="AJ536" s="1037"/>
      <c r="AK536" s="1037"/>
      <c r="AL536" s="1037"/>
      <c r="AM536" s="1037"/>
      <c r="AN536" s="1037"/>
      <c r="AO536" s="1037"/>
      <c r="AP536" s="1037"/>
    </row>
    <row r="537" spans="1:42" s="226" customFormat="1">
      <c r="A537" s="2060"/>
      <c r="B537" s="1037"/>
      <c r="C537" s="1037"/>
      <c r="D537" s="1037"/>
      <c r="E537" s="1037"/>
      <c r="F537" s="1037"/>
      <c r="G537" s="1037"/>
      <c r="H537" s="1018"/>
      <c r="I537" s="1037"/>
      <c r="J537" s="1037"/>
      <c r="K537" s="1037"/>
      <c r="L537" s="1037"/>
      <c r="M537" s="1037"/>
      <c r="N537" s="1037"/>
      <c r="O537" s="1037"/>
      <c r="P537" s="1037"/>
      <c r="Q537" s="1037"/>
      <c r="R537" s="1037"/>
      <c r="S537" s="1037"/>
      <c r="T537" s="1037"/>
      <c r="U537" s="1037"/>
      <c r="V537" s="1037"/>
      <c r="W537" s="1037"/>
      <c r="X537" s="1037"/>
      <c r="Y537" s="1037"/>
      <c r="Z537" s="1037"/>
      <c r="AA537" s="1037"/>
      <c r="AB537" s="1037"/>
      <c r="AC537" s="1037"/>
      <c r="AD537" s="1037"/>
      <c r="AE537" s="1037"/>
      <c r="AF537" s="1037"/>
      <c r="AG537" s="1037"/>
      <c r="AH537" s="1037"/>
      <c r="AI537" s="1037"/>
      <c r="AJ537" s="1037"/>
      <c r="AK537" s="1037"/>
      <c r="AL537" s="1037"/>
      <c r="AM537" s="1037"/>
      <c r="AN537" s="1037"/>
      <c r="AO537" s="1037"/>
      <c r="AP537" s="1037"/>
    </row>
    <row r="538" spans="1:42" s="226" customFormat="1">
      <c r="A538" s="2060"/>
      <c r="B538" s="1037"/>
      <c r="C538" s="1037"/>
      <c r="D538" s="1037"/>
      <c r="E538" s="1037"/>
      <c r="F538" s="1037"/>
      <c r="G538" s="1037"/>
      <c r="H538" s="1018"/>
      <c r="I538" s="1037"/>
      <c r="J538" s="1037"/>
      <c r="K538" s="1037"/>
      <c r="L538" s="1037"/>
      <c r="M538" s="1037"/>
      <c r="N538" s="1037"/>
      <c r="O538" s="1037"/>
      <c r="P538" s="1037"/>
      <c r="Q538" s="1037"/>
      <c r="R538" s="1037"/>
      <c r="S538" s="1037"/>
      <c r="T538" s="1037"/>
      <c r="U538" s="1037"/>
      <c r="V538" s="1037"/>
      <c r="W538" s="1037"/>
      <c r="X538" s="1037"/>
      <c r="Y538" s="1037"/>
      <c r="Z538" s="1037"/>
      <c r="AA538" s="1037"/>
      <c r="AB538" s="1037"/>
      <c r="AC538" s="1037"/>
      <c r="AD538" s="1037"/>
      <c r="AE538" s="1037"/>
      <c r="AF538" s="1037"/>
      <c r="AG538" s="1037"/>
      <c r="AH538" s="1037"/>
      <c r="AI538" s="1037"/>
      <c r="AJ538" s="1037"/>
      <c r="AK538" s="1037"/>
      <c r="AL538" s="1037"/>
      <c r="AM538" s="1037"/>
      <c r="AN538" s="1037"/>
      <c r="AO538" s="1037"/>
      <c r="AP538" s="1037"/>
    </row>
    <row r="539" spans="1:42" s="226" customFormat="1">
      <c r="A539" s="2060"/>
      <c r="B539" s="1037"/>
      <c r="C539" s="1037"/>
      <c r="D539" s="1037"/>
      <c r="E539" s="1037"/>
      <c r="F539" s="1037"/>
      <c r="G539" s="1037"/>
      <c r="H539" s="1018"/>
      <c r="I539" s="1037"/>
      <c r="J539" s="1037"/>
      <c r="K539" s="1037"/>
      <c r="L539" s="1037"/>
      <c r="M539" s="1037"/>
      <c r="N539" s="1037"/>
      <c r="O539" s="1037"/>
      <c r="P539" s="1037"/>
      <c r="Q539" s="1037"/>
      <c r="R539" s="1037"/>
      <c r="S539" s="1037"/>
      <c r="T539" s="1037"/>
      <c r="U539" s="1037"/>
      <c r="V539" s="1037"/>
      <c r="W539" s="1037"/>
      <c r="X539" s="1037"/>
      <c r="Y539" s="1037"/>
      <c r="Z539" s="1037"/>
      <c r="AA539" s="1037"/>
      <c r="AB539" s="1037"/>
      <c r="AC539" s="1037"/>
      <c r="AD539" s="1037"/>
      <c r="AE539" s="1037"/>
      <c r="AF539" s="1037"/>
      <c r="AG539" s="1037"/>
      <c r="AH539" s="1037"/>
      <c r="AI539" s="1037"/>
      <c r="AJ539" s="1037"/>
      <c r="AK539" s="1037"/>
      <c r="AL539" s="1037"/>
      <c r="AM539" s="1037"/>
      <c r="AN539" s="1037"/>
      <c r="AO539" s="1037"/>
      <c r="AP539" s="1037"/>
    </row>
    <row r="540" spans="1:42" s="226" customFormat="1">
      <c r="A540" s="2060"/>
      <c r="B540" s="1037"/>
      <c r="C540" s="1037"/>
      <c r="D540" s="1037"/>
      <c r="E540" s="1037"/>
      <c r="F540" s="1037"/>
      <c r="G540" s="1037"/>
      <c r="H540" s="1018"/>
      <c r="I540" s="1037"/>
      <c r="J540" s="1037"/>
      <c r="K540" s="1037"/>
      <c r="L540" s="1037"/>
      <c r="M540" s="1037"/>
      <c r="N540" s="1037"/>
      <c r="O540" s="1037"/>
      <c r="P540" s="1037"/>
      <c r="Q540" s="1037"/>
      <c r="R540" s="1037"/>
      <c r="S540" s="1037"/>
      <c r="T540" s="1037"/>
      <c r="U540" s="1037"/>
      <c r="V540" s="1037"/>
      <c r="W540" s="1037"/>
      <c r="X540" s="1037"/>
      <c r="Y540" s="1037"/>
      <c r="Z540" s="1037"/>
      <c r="AA540" s="1037"/>
      <c r="AB540" s="1037"/>
      <c r="AC540" s="1037"/>
      <c r="AD540" s="1037"/>
      <c r="AE540" s="1037"/>
      <c r="AF540" s="1037"/>
      <c r="AG540" s="1037"/>
      <c r="AH540" s="1037"/>
      <c r="AI540" s="1037"/>
      <c r="AJ540" s="1037"/>
      <c r="AK540" s="1037"/>
      <c r="AL540" s="1037"/>
      <c r="AM540" s="1037"/>
      <c r="AN540" s="1037"/>
      <c r="AO540" s="1037"/>
      <c r="AP540" s="1037"/>
    </row>
    <row r="541" spans="1:42" s="226" customFormat="1">
      <c r="A541" s="2060"/>
      <c r="B541" s="1037"/>
      <c r="C541" s="1037"/>
      <c r="D541" s="1037"/>
      <c r="E541" s="1037"/>
      <c r="F541" s="1037"/>
      <c r="G541" s="1037"/>
      <c r="H541" s="1018"/>
      <c r="I541" s="1037"/>
      <c r="J541" s="1037"/>
      <c r="K541" s="1037"/>
      <c r="L541" s="1037"/>
      <c r="M541" s="1037"/>
      <c r="N541" s="1037"/>
      <c r="O541" s="1037"/>
      <c r="P541" s="1037"/>
      <c r="Q541" s="1037"/>
      <c r="R541" s="1037"/>
      <c r="S541" s="1037"/>
      <c r="T541" s="1037"/>
      <c r="U541" s="1037"/>
      <c r="V541" s="1037"/>
      <c r="W541" s="1037"/>
      <c r="X541" s="1037"/>
      <c r="Y541" s="1037"/>
      <c r="Z541" s="1037"/>
      <c r="AA541" s="1037"/>
      <c r="AB541" s="1037"/>
      <c r="AC541" s="1037"/>
      <c r="AD541" s="1037"/>
      <c r="AE541" s="1037"/>
      <c r="AF541" s="1037"/>
      <c r="AG541" s="1037"/>
      <c r="AH541" s="1037"/>
      <c r="AI541" s="1037"/>
      <c r="AJ541" s="1037"/>
      <c r="AK541" s="1037"/>
      <c r="AL541" s="1037"/>
      <c r="AM541" s="1037"/>
      <c r="AN541" s="1037"/>
      <c r="AO541" s="1037"/>
      <c r="AP541" s="1037"/>
    </row>
    <row r="542" spans="1:42" s="226" customFormat="1">
      <c r="A542" s="2060"/>
      <c r="B542" s="1037"/>
      <c r="C542" s="1037"/>
      <c r="D542" s="1037"/>
      <c r="E542" s="1037"/>
      <c r="F542" s="1037"/>
      <c r="G542" s="1037"/>
      <c r="H542" s="1018"/>
      <c r="I542" s="1037"/>
      <c r="J542" s="1037"/>
      <c r="K542" s="1037"/>
      <c r="L542" s="1037"/>
      <c r="M542" s="1037"/>
      <c r="N542" s="1037"/>
      <c r="O542" s="1037"/>
      <c r="P542" s="1037"/>
      <c r="Q542" s="1037"/>
      <c r="R542" s="1037"/>
      <c r="S542" s="1037"/>
      <c r="T542" s="1037"/>
      <c r="U542" s="1037"/>
      <c r="V542" s="1037"/>
      <c r="W542" s="1037"/>
      <c r="X542" s="1037"/>
      <c r="Y542" s="1037"/>
      <c r="Z542" s="1037"/>
      <c r="AA542" s="1037"/>
      <c r="AB542" s="1037"/>
      <c r="AC542" s="1037"/>
      <c r="AD542" s="1037"/>
      <c r="AE542" s="1037"/>
      <c r="AF542" s="1037"/>
      <c r="AG542" s="1037"/>
      <c r="AH542" s="1037"/>
      <c r="AI542" s="1037"/>
      <c r="AJ542" s="1037"/>
      <c r="AK542" s="1037"/>
      <c r="AL542" s="1037"/>
      <c r="AM542" s="1037"/>
      <c r="AN542" s="1037"/>
      <c r="AO542" s="1037"/>
      <c r="AP542" s="1037"/>
    </row>
    <row r="543" spans="1:42" s="226" customFormat="1">
      <c r="A543" s="2060"/>
      <c r="B543" s="1037"/>
      <c r="C543" s="1037"/>
      <c r="D543" s="1037"/>
      <c r="E543" s="1037"/>
      <c r="F543" s="1037"/>
      <c r="G543" s="1037"/>
      <c r="H543" s="1018"/>
      <c r="I543" s="1037"/>
      <c r="J543" s="1037"/>
      <c r="K543" s="1037"/>
      <c r="L543" s="1037"/>
      <c r="M543" s="1037"/>
      <c r="N543" s="1037"/>
      <c r="O543" s="1037"/>
      <c r="P543" s="1037"/>
      <c r="Q543" s="1037"/>
      <c r="R543" s="1037"/>
      <c r="S543" s="1037"/>
      <c r="T543" s="1037"/>
      <c r="U543" s="1037"/>
      <c r="V543" s="1037"/>
      <c r="W543" s="1037"/>
      <c r="X543" s="1037"/>
      <c r="Y543" s="1037"/>
      <c r="Z543" s="1037"/>
      <c r="AA543" s="1037"/>
      <c r="AB543" s="1037"/>
      <c r="AC543" s="1037"/>
      <c r="AD543" s="1037"/>
      <c r="AE543" s="1037"/>
      <c r="AF543" s="1037"/>
      <c r="AG543" s="1037"/>
      <c r="AH543" s="1037"/>
      <c r="AI543" s="1037"/>
      <c r="AJ543" s="1037"/>
      <c r="AK543" s="1037"/>
      <c r="AL543" s="1037"/>
      <c r="AM543" s="1037"/>
      <c r="AN543" s="1037"/>
      <c r="AO543" s="1037"/>
      <c r="AP543" s="1037"/>
    </row>
    <row r="544" spans="1:42" s="226" customFormat="1">
      <c r="A544" s="2060"/>
      <c r="B544" s="1037"/>
      <c r="C544" s="1037"/>
      <c r="D544" s="1037"/>
      <c r="E544" s="1037"/>
      <c r="F544" s="1037"/>
      <c r="G544" s="1037"/>
      <c r="H544" s="1018"/>
      <c r="I544" s="1037"/>
      <c r="J544" s="1037"/>
      <c r="K544" s="1037"/>
      <c r="L544" s="1037"/>
      <c r="M544" s="1037"/>
      <c r="N544" s="1037"/>
      <c r="O544" s="1037"/>
      <c r="P544" s="1037"/>
      <c r="Q544" s="1037"/>
      <c r="R544" s="1037"/>
      <c r="S544" s="1037"/>
      <c r="T544" s="1037"/>
      <c r="U544" s="1037"/>
      <c r="V544" s="1037"/>
      <c r="W544" s="1037"/>
      <c r="X544" s="1037"/>
      <c r="Y544" s="1037"/>
      <c r="Z544" s="1037"/>
      <c r="AA544" s="1037"/>
      <c r="AB544" s="1037"/>
      <c r="AC544" s="1037"/>
      <c r="AD544" s="1037"/>
      <c r="AE544" s="1037"/>
      <c r="AF544" s="1037"/>
      <c r="AG544" s="1037"/>
      <c r="AH544" s="1037"/>
      <c r="AI544" s="1037"/>
      <c r="AJ544" s="1037"/>
      <c r="AK544" s="1037"/>
      <c r="AL544" s="1037"/>
      <c r="AM544" s="1037"/>
      <c r="AN544" s="1037"/>
      <c r="AO544" s="1037"/>
      <c r="AP544" s="1037"/>
    </row>
    <row r="545" spans="1:42" s="226" customFormat="1">
      <c r="A545" s="2060"/>
      <c r="B545" s="1037"/>
      <c r="C545" s="1037"/>
      <c r="D545" s="1037"/>
      <c r="E545" s="1037"/>
      <c r="F545" s="1037"/>
      <c r="G545" s="1037"/>
      <c r="H545" s="1018"/>
      <c r="I545" s="1037"/>
      <c r="J545" s="1037"/>
      <c r="K545" s="1037"/>
      <c r="L545" s="1037"/>
      <c r="M545" s="1037"/>
      <c r="N545" s="1037"/>
      <c r="O545" s="1037"/>
      <c r="P545" s="1037"/>
      <c r="Q545" s="1037"/>
      <c r="R545" s="1037"/>
      <c r="S545" s="1037"/>
      <c r="T545" s="1037"/>
      <c r="U545" s="1037"/>
      <c r="V545" s="1037"/>
      <c r="W545" s="1037"/>
      <c r="X545" s="1037"/>
      <c r="Y545" s="1037"/>
      <c r="Z545" s="1037"/>
      <c r="AA545" s="1037"/>
      <c r="AB545" s="1037"/>
      <c r="AC545" s="1037"/>
      <c r="AD545" s="1037"/>
      <c r="AE545" s="1037"/>
      <c r="AF545" s="1037"/>
      <c r="AG545" s="1037"/>
      <c r="AH545" s="1037"/>
      <c r="AI545" s="1037"/>
      <c r="AJ545" s="1037"/>
      <c r="AK545" s="1037"/>
      <c r="AL545" s="1037"/>
      <c r="AM545" s="1037"/>
      <c r="AN545" s="1037"/>
      <c r="AO545" s="1037"/>
      <c r="AP545" s="1037"/>
    </row>
    <row r="546" spans="1:42" s="226" customFormat="1">
      <c r="A546" s="2060"/>
      <c r="B546" s="1037"/>
      <c r="C546" s="1037"/>
      <c r="D546" s="1037"/>
      <c r="E546" s="1037"/>
      <c r="F546" s="1037"/>
      <c r="G546" s="1037"/>
      <c r="H546" s="1018"/>
      <c r="I546" s="1037"/>
      <c r="J546" s="1037"/>
      <c r="K546" s="1037"/>
      <c r="L546" s="1037"/>
      <c r="M546" s="1037"/>
      <c r="N546" s="1037"/>
      <c r="O546" s="1037"/>
      <c r="P546" s="1037"/>
      <c r="Q546" s="1037"/>
      <c r="R546" s="1037"/>
      <c r="S546" s="1037"/>
      <c r="T546" s="1037"/>
      <c r="U546" s="1037"/>
      <c r="V546" s="1037"/>
      <c r="W546" s="1037"/>
      <c r="X546" s="1037"/>
      <c r="Y546" s="1037"/>
      <c r="Z546" s="1037"/>
      <c r="AA546" s="1037"/>
      <c r="AB546" s="1037"/>
      <c r="AC546" s="1037"/>
      <c r="AD546" s="1037"/>
      <c r="AE546" s="1037"/>
      <c r="AF546" s="1037"/>
      <c r="AG546" s="1037"/>
      <c r="AH546" s="1037"/>
      <c r="AI546" s="1037"/>
      <c r="AJ546" s="1037"/>
      <c r="AK546" s="1037"/>
      <c r="AL546" s="1037"/>
      <c r="AM546" s="1037"/>
      <c r="AN546" s="1037"/>
      <c r="AO546" s="1037"/>
      <c r="AP546" s="1037"/>
    </row>
    <row r="547" spans="1:42" s="226" customFormat="1">
      <c r="A547" s="2060"/>
      <c r="B547" s="1037"/>
      <c r="C547" s="1037"/>
      <c r="D547" s="1037"/>
      <c r="E547" s="1037"/>
      <c r="F547" s="1037"/>
      <c r="G547" s="1037"/>
      <c r="H547" s="1018"/>
      <c r="I547" s="1037"/>
      <c r="J547" s="1037"/>
      <c r="K547" s="1037"/>
      <c r="L547" s="1037"/>
      <c r="M547" s="1037"/>
      <c r="N547" s="1037"/>
      <c r="O547" s="1037"/>
      <c r="P547" s="1037"/>
      <c r="Q547" s="1037"/>
      <c r="R547" s="1037"/>
      <c r="S547" s="1037"/>
      <c r="T547" s="1037"/>
      <c r="U547" s="1037"/>
      <c r="V547" s="1037"/>
      <c r="W547" s="1037"/>
      <c r="X547" s="1037"/>
      <c r="Y547" s="1037"/>
      <c r="Z547" s="1037"/>
      <c r="AA547" s="1037"/>
      <c r="AB547" s="1037"/>
      <c r="AC547" s="1037"/>
      <c r="AD547" s="1037"/>
      <c r="AE547" s="1037"/>
      <c r="AF547" s="1037"/>
      <c r="AG547" s="1037"/>
      <c r="AH547" s="1037"/>
      <c r="AI547" s="1037"/>
      <c r="AJ547" s="1037"/>
      <c r="AK547" s="1037"/>
      <c r="AL547" s="1037"/>
      <c r="AM547" s="1037"/>
      <c r="AN547" s="1037"/>
      <c r="AO547" s="1037"/>
      <c r="AP547" s="1037"/>
    </row>
    <row r="548" spans="1:42" s="226" customFormat="1">
      <c r="A548" s="2060"/>
      <c r="B548" s="1037"/>
      <c r="C548" s="1037"/>
      <c r="D548" s="1037"/>
      <c r="E548" s="1037"/>
      <c r="F548" s="1037"/>
      <c r="G548" s="1037"/>
      <c r="H548" s="1018"/>
      <c r="I548" s="1037"/>
      <c r="J548" s="1037"/>
      <c r="K548" s="1037"/>
      <c r="L548" s="1037"/>
      <c r="M548" s="1037"/>
      <c r="N548" s="1037"/>
      <c r="O548" s="1037"/>
      <c r="P548" s="1037"/>
      <c r="Q548" s="1037"/>
      <c r="R548" s="1037"/>
      <c r="S548" s="1037"/>
      <c r="T548" s="1037"/>
      <c r="U548" s="1037"/>
      <c r="V548" s="1037"/>
      <c r="W548" s="1037"/>
      <c r="X548" s="1037"/>
      <c r="Y548" s="1037"/>
      <c r="Z548" s="1037"/>
      <c r="AA548" s="1037"/>
      <c r="AB548" s="1037"/>
      <c r="AC548" s="1037"/>
      <c r="AD548" s="1037"/>
      <c r="AE548" s="1037"/>
      <c r="AF548" s="1037"/>
      <c r="AG548" s="1037"/>
      <c r="AH548" s="1037"/>
      <c r="AI548" s="1037"/>
      <c r="AJ548" s="1037"/>
      <c r="AK548" s="1037"/>
      <c r="AL548" s="1037"/>
      <c r="AM548" s="1037"/>
      <c r="AN548" s="1037"/>
      <c r="AO548" s="1037"/>
      <c r="AP548" s="1037"/>
    </row>
    <row r="549" spans="1:42" s="226" customFormat="1">
      <c r="A549" s="2060"/>
      <c r="B549" s="1037"/>
      <c r="C549" s="1037"/>
      <c r="D549" s="1037"/>
      <c r="E549" s="1037"/>
      <c r="F549" s="1037"/>
      <c r="G549" s="1037"/>
      <c r="H549" s="1018"/>
      <c r="I549" s="1037"/>
      <c r="J549" s="1037"/>
      <c r="K549" s="1037"/>
      <c r="L549" s="1037"/>
      <c r="M549" s="1037"/>
      <c r="N549" s="1037"/>
      <c r="O549" s="1037"/>
      <c r="P549" s="1037"/>
      <c r="Q549" s="1037"/>
      <c r="R549" s="1037"/>
      <c r="S549" s="1037"/>
      <c r="T549" s="1037"/>
      <c r="U549" s="1037"/>
      <c r="V549" s="1037"/>
      <c r="W549" s="1037"/>
      <c r="X549" s="1037"/>
      <c r="Y549" s="1037"/>
      <c r="Z549" s="1037"/>
      <c r="AA549" s="1037"/>
      <c r="AB549" s="1037"/>
      <c r="AC549" s="1037"/>
      <c r="AD549" s="1037"/>
      <c r="AE549" s="1037"/>
      <c r="AF549" s="1037"/>
      <c r="AG549" s="1037"/>
      <c r="AH549" s="1037"/>
      <c r="AI549" s="1037"/>
      <c r="AJ549" s="1037"/>
      <c r="AK549" s="1037"/>
      <c r="AL549" s="1037"/>
      <c r="AM549" s="1037"/>
      <c r="AN549" s="1037"/>
      <c r="AO549" s="1037"/>
      <c r="AP549" s="1037"/>
    </row>
    <row r="550" spans="1:42" s="226" customFormat="1">
      <c r="A550" s="2060"/>
      <c r="B550" s="1037"/>
      <c r="C550" s="1037"/>
      <c r="D550" s="1037"/>
      <c r="E550" s="1037"/>
      <c r="F550" s="1037"/>
      <c r="G550" s="1037"/>
      <c r="H550" s="1018"/>
      <c r="I550" s="1037"/>
      <c r="J550" s="1037"/>
      <c r="K550" s="1037"/>
      <c r="L550" s="1037"/>
      <c r="M550" s="1037"/>
      <c r="N550" s="1037"/>
      <c r="O550" s="1037"/>
      <c r="P550" s="1037"/>
      <c r="Q550" s="1037"/>
      <c r="R550" s="1037"/>
      <c r="S550" s="1037"/>
      <c r="T550" s="1037"/>
      <c r="U550" s="1037"/>
      <c r="V550" s="1037"/>
      <c r="W550" s="1037"/>
      <c r="X550" s="1037"/>
      <c r="Y550" s="1037"/>
      <c r="Z550" s="1037"/>
      <c r="AA550" s="1037"/>
      <c r="AB550" s="1037"/>
      <c r="AC550" s="1037"/>
      <c r="AD550" s="1037"/>
      <c r="AE550" s="1037"/>
      <c r="AF550" s="1037"/>
      <c r="AG550" s="1037"/>
      <c r="AH550" s="1037"/>
      <c r="AI550" s="1037"/>
      <c r="AJ550" s="1037"/>
      <c r="AK550" s="1037"/>
      <c r="AL550" s="1037"/>
      <c r="AM550" s="1037"/>
      <c r="AN550" s="1037"/>
      <c r="AO550" s="1037"/>
      <c r="AP550" s="1037"/>
    </row>
    <row r="551" spans="1:42" s="226" customFormat="1">
      <c r="A551" s="2060"/>
      <c r="B551" s="1037"/>
      <c r="C551" s="1037"/>
      <c r="D551" s="1037"/>
      <c r="E551" s="1037"/>
      <c r="F551" s="1037"/>
      <c r="G551" s="1037"/>
      <c r="H551" s="1018"/>
      <c r="I551" s="1037"/>
      <c r="J551" s="1037"/>
      <c r="K551" s="1037"/>
      <c r="L551" s="1037"/>
      <c r="M551" s="1037"/>
      <c r="N551" s="1037"/>
      <c r="O551" s="1037"/>
      <c r="P551" s="1037"/>
      <c r="Q551" s="1037"/>
      <c r="R551" s="1037"/>
      <c r="S551" s="1037"/>
      <c r="T551" s="1037"/>
      <c r="U551" s="1037"/>
      <c r="V551" s="1037"/>
      <c r="W551" s="1037"/>
      <c r="X551" s="1037"/>
      <c r="Y551" s="1037"/>
      <c r="Z551" s="1037"/>
      <c r="AA551" s="1037"/>
      <c r="AB551" s="1037"/>
      <c r="AC551" s="1037"/>
      <c r="AD551" s="1037"/>
      <c r="AE551" s="1037"/>
      <c r="AF551" s="1037"/>
      <c r="AG551" s="1037"/>
      <c r="AH551" s="1037"/>
      <c r="AI551" s="1037"/>
      <c r="AJ551" s="1037"/>
      <c r="AK551" s="1037"/>
      <c r="AL551" s="1037"/>
      <c r="AM551" s="1037"/>
      <c r="AN551" s="1037"/>
      <c r="AO551" s="1037"/>
      <c r="AP551" s="1037"/>
    </row>
    <row r="552" spans="1:42" s="226" customFormat="1">
      <c r="A552" s="2060"/>
      <c r="B552" s="1037"/>
      <c r="C552" s="1037"/>
      <c r="D552" s="1037"/>
      <c r="E552" s="1037"/>
      <c r="F552" s="1037"/>
      <c r="G552" s="1037"/>
      <c r="H552" s="1018"/>
      <c r="I552" s="1037"/>
      <c r="J552" s="1037"/>
      <c r="K552" s="1037"/>
      <c r="L552" s="1037"/>
      <c r="M552" s="1037"/>
      <c r="N552" s="1037"/>
      <c r="O552" s="1037"/>
      <c r="P552" s="1037"/>
      <c r="Q552" s="1037"/>
      <c r="R552" s="1037"/>
      <c r="S552" s="1037"/>
      <c r="T552" s="1037"/>
      <c r="U552" s="1037"/>
      <c r="V552" s="1037"/>
      <c r="W552" s="1037"/>
      <c r="X552" s="1037"/>
      <c r="Y552" s="1037"/>
      <c r="Z552" s="1037"/>
      <c r="AA552" s="1037"/>
      <c r="AB552" s="1037"/>
      <c r="AC552" s="1037"/>
      <c r="AD552" s="1037"/>
      <c r="AE552" s="1037"/>
      <c r="AF552" s="1037"/>
      <c r="AG552" s="1037"/>
      <c r="AH552" s="1037"/>
      <c r="AI552" s="1037"/>
      <c r="AJ552" s="1037"/>
      <c r="AK552" s="1037"/>
      <c r="AL552" s="1037"/>
      <c r="AM552" s="1037"/>
      <c r="AN552" s="1037"/>
      <c r="AO552" s="1037"/>
      <c r="AP552" s="1037"/>
    </row>
    <row r="553" spans="1:42" s="226" customFormat="1">
      <c r="A553" s="2060"/>
      <c r="B553" s="1037"/>
      <c r="C553" s="1037"/>
      <c r="D553" s="1037"/>
      <c r="E553" s="1037"/>
      <c r="F553" s="1037"/>
      <c r="G553" s="1037"/>
      <c r="H553" s="1018"/>
      <c r="I553" s="1037"/>
      <c r="J553" s="1037"/>
      <c r="K553" s="1037"/>
      <c r="L553" s="1037"/>
      <c r="M553" s="1037"/>
      <c r="N553" s="1037"/>
      <c r="O553" s="1037"/>
      <c r="P553" s="1037"/>
      <c r="Q553" s="1037"/>
      <c r="R553" s="1037"/>
      <c r="S553" s="1037"/>
      <c r="T553" s="1037"/>
      <c r="U553" s="1037"/>
      <c r="V553" s="1037"/>
      <c r="W553" s="1037"/>
      <c r="X553" s="1037"/>
      <c r="Y553" s="1037"/>
      <c r="Z553" s="1037"/>
      <c r="AA553" s="1037"/>
      <c r="AB553" s="1037"/>
      <c r="AC553" s="1037"/>
      <c r="AD553" s="1037"/>
      <c r="AE553" s="1037"/>
      <c r="AF553" s="1037"/>
      <c r="AG553" s="1037"/>
      <c r="AH553" s="1037"/>
      <c r="AI553" s="1037"/>
      <c r="AJ553" s="1037"/>
      <c r="AK553" s="1037"/>
      <c r="AL553" s="1037"/>
      <c r="AM553" s="1037"/>
      <c r="AN553" s="1037"/>
      <c r="AO553" s="1037"/>
      <c r="AP553" s="1037"/>
    </row>
    <row r="554" spans="1:42" s="226" customFormat="1">
      <c r="A554" s="2060"/>
      <c r="B554" s="1037"/>
      <c r="C554" s="1037"/>
      <c r="D554" s="1037"/>
      <c r="E554" s="1037"/>
      <c r="F554" s="1037"/>
      <c r="G554" s="1037"/>
      <c r="H554" s="1018"/>
      <c r="I554" s="1037"/>
      <c r="J554" s="1037"/>
      <c r="K554" s="1037"/>
      <c r="L554" s="1037"/>
      <c r="M554" s="1037"/>
      <c r="N554" s="1037"/>
      <c r="O554" s="1037"/>
      <c r="P554" s="1037"/>
      <c r="Q554" s="1037"/>
      <c r="R554" s="1037"/>
      <c r="S554" s="1037"/>
      <c r="T554" s="1037"/>
      <c r="U554" s="1037"/>
      <c r="V554" s="1037"/>
      <c r="W554" s="1037"/>
      <c r="X554" s="1037"/>
      <c r="Y554" s="1037"/>
      <c r="Z554" s="1037"/>
      <c r="AA554" s="1037"/>
      <c r="AB554" s="1037"/>
      <c r="AC554" s="1037"/>
      <c r="AD554" s="1037"/>
      <c r="AE554" s="1037"/>
      <c r="AF554" s="1037"/>
      <c r="AG554" s="1037"/>
      <c r="AH554" s="1037"/>
      <c r="AI554" s="1037"/>
      <c r="AJ554" s="1037"/>
      <c r="AK554" s="1037"/>
      <c r="AL554" s="1037"/>
      <c r="AM554" s="1037"/>
      <c r="AN554" s="1037"/>
      <c r="AO554" s="1037"/>
      <c r="AP554" s="1037"/>
    </row>
    <row r="555" spans="1:42" s="226" customFormat="1">
      <c r="A555" s="2060"/>
      <c r="B555" s="1037"/>
      <c r="C555" s="1037"/>
      <c r="D555" s="1037"/>
      <c r="E555" s="1037"/>
      <c r="F555" s="1037"/>
      <c r="G555" s="1037"/>
      <c r="H555" s="1018"/>
      <c r="I555" s="1037"/>
      <c r="J555" s="1037"/>
      <c r="K555" s="1037"/>
      <c r="L555" s="1037"/>
      <c r="M555" s="1037"/>
      <c r="N555" s="1037"/>
      <c r="O555" s="1037"/>
      <c r="P555" s="1037"/>
      <c r="Q555" s="1037"/>
      <c r="R555" s="1037"/>
      <c r="S555" s="1037"/>
      <c r="T555" s="1037"/>
      <c r="U555" s="1037"/>
      <c r="V555" s="1037"/>
      <c r="W555" s="1037"/>
      <c r="X555" s="1037"/>
      <c r="Y555" s="1037"/>
      <c r="Z555" s="1037"/>
      <c r="AA555" s="1037"/>
      <c r="AB555" s="1037"/>
      <c r="AC555" s="1037"/>
      <c r="AD555" s="1037"/>
      <c r="AE555" s="1037"/>
      <c r="AF555" s="1037"/>
      <c r="AG555" s="1037"/>
      <c r="AH555" s="1037"/>
      <c r="AI555" s="1037"/>
      <c r="AJ555" s="1037"/>
      <c r="AK555" s="1037"/>
      <c r="AL555" s="1037"/>
      <c r="AM555" s="1037"/>
      <c r="AN555" s="1037"/>
      <c r="AO555" s="1037"/>
      <c r="AP555" s="1037"/>
    </row>
    <row r="556" spans="1:42" s="226" customFormat="1">
      <c r="A556" s="2060"/>
      <c r="B556" s="1037"/>
      <c r="C556" s="1037"/>
      <c r="D556" s="1037"/>
      <c r="E556" s="1037"/>
      <c r="F556" s="1037"/>
      <c r="G556" s="1037"/>
      <c r="H556" s="1018"/>
      <c r="I556" s="1037"/>
      <c r="J556" s="1037"/>
      <c r="K556" s="1037"/>
      <c r="L556" s="1037"/>
      <c r="M556" s="1037"/>
      <c r="N556" s="1037"/>
      <c r="O556" s="1037"/>
      <c r="P556" s="1037"/>
      <c r="Q556" s="1037"/>
      <c r="R556" s="1037"/>
      <c r="S556" s="1037"/>
      <c r="T556" s="1037"/>
      <c r="U556" s="1037"/>
      <c r="V556" s="1037"/>
      <c r="W556" s="1037"/>
      <c r="X556" s="1037"/>
      <c r="Y556" s="1037"/>
      <c r="Z556" s="1037"/>
      <c r="AA556" s="1037"/>
      <c r="AB556" s="1037"/>
      <c r="AC556" s="1037"/>
      <c r="AD556" s="1037"/>
      <c r="AE556" s="1037"/>
      <c r="AF556" s="1037"/>
      <c r="AG556" s="1037"/>
      <c r="AH556" s="1037"/>
      <c r="AI556" s="1037"/>
      <c r="AJ556" s="1037"/>
      <c r="AK556" s="1037"/>
      <c r="AL556" s="1037"/>
      <c r="AM556" s="1037"/>
      <c r="AN556" s="1037"/>
      <c r="AO556" s="1037"/>
      <c r="AP556" s="1037"/>
    </row>
    <row r="557" spans="1:42" s="226" customFormat="1">
      <c r="A557" s="2060"/>
      <c r="B557" s="1037"/>
      <c r="C557" s="1037"/>
      <c r="D557" s="1037"/>
      <c r="E557" s="1037"/>
      <c r="F557" s="1037"/>
      <c r="G557" s="1037"/>
      <c r="H557" s="1018"/>
      <c r="I557" s="1037"/>
      <c r="J557" s="1037"/>
      <c r="K557" s="1037"/>
      <c r="L557" s="1037"/>
      <c r="M557" s="1037"/>
      <c r="N557" s="1037"/>
      <c r="O557" s="1037"/>
      <c r="P557" s="1037"/>
      <c r="Q557" s="1037"/>
      <c r="R557" s="1037"/>
      <c r="S557" s="1037"/>
      <c r="T557" s="1037"/>
      <c r="U557" s="1037"/>
      <c r="V557" s="1037"/>
      <c r="W557" s="1037"/>
      <c r="X557" s="1037"/>
      <c r="Y557" s="1037"/>
      <c r="Z557" s="1037"/>
      <c r="AA557" s="1037"/>
      <c r="AB557" s="1037"/>
      <c r="AC557" s="1037"/>
      <c r="AD557" s="1037"/>
      <c r="AE557" s="1037"/>
      <c r="AF557" s="1037"/>
      <c r="AG557" s="1037"/>
      <c r="AH557" s="1037"/>
      <c r="AI557" s="1037"/>
      <c r="AJ557" s="1037"/>
      <c r="AK557" s="1037"/>
      <c r="AL557" s="1037"/>
      <c r="AM557" s="1037"/>
      <c r="AN557" s="1037"/>
      <c r="AO557" s="1037"/>
      <c r="AP557" s="1037"/>
    </row>
    <row r="558" spans="1:42" s="226" customFormat="1">
      <c r="A558" s="2060"/>
      <c r="B558" s="1037"/>
      <c r="C558" s="1037"/>
      <c r="D558" s="1037"/>
      <c r="E558" s="1037"/>
      <c r="F558" s="1037"/>
      <c r="G558" s="1037"/>
      <c r="H558" s="1018"/>
      <c r="I558" s="1037"/>
      <c r="J558" s="1037"/>
      <c r="K558" s="1037"/>
      <c r="L558" s="1037"/>
      <c r="M558" s="1037"/>
      <c r="N558" s="1037"/>
      <c r="O558" s="1037"/>
      <c r="P558" s="1037"/>
      <c r="Q558" s="1037"/>
      <c r="R558" s="1037"/>
      <c r="S558" s="1037"/>
      <c r="T558" s="1037"/>
      <c r="U558" s="1037"/>
      <c r="V558" s="1037"/>
      <c r="W558" s="1037"/>
      <c r="X558" s="1037"/>
      <c r="Y558" s="1037"/>
      <c r="Z558" s="1037"/>
      <c r="AA558" s="1037"/>
      <c r="AB558" s="1037"/>
      <c r="AC558" s="1037"/>
      <c r="AD558" s="1037"/>
      <c r="AE558" s="1037"/>
      <c r="AF558" s="1037"/>
      <c r="AG558" s="1037"/>
      <c r="AH558" s="1037"/>
      <c r="AI558" s="1037"/>
      <c r="AJ558" s="1037"/>
      <c r="AK558" s="1037"/>
      <c r="AL558" s="1037"/>
      <c r="AM558" s="1037"/>
      <c r="AN558" s="1037"/>
      <c r="AO558" s="1037"/>
      <c r="AP558" s="1037"/>
    </row>
    <row r="559" spans="1:42" s="226" customFormat="1">
      <c r="A559" s="2060"/>
      <c r="B559" s="1037"/>
      <c r="C559" s="1037"/>
      <c r="D559" s="1037"/>
      <c r="E559" s="1037"/>
      <c r="F559" s="1037"/>
      <c r="G559" s="1037"/>
      <c r="H559" s="1018"/>
      <c r="I559" s="1037"/>
      <c r="J559" s="1037"/>
      <c r="K559" s="1037"/>
      <c r="L559" s="1037"/>
      <c r="M559" s="1037"/>
      <c r="N559" s="1037"/>
      <c r="O559" s="1037"/>
      <c r="P559" s="1037"/>
      <c r="Q559" s="1037"/>
      <c r="R559" s="1037"/>
      <c r="S559" s="1037"/>
      <c r="T559" s="1037"/>
      <c r="U559" s="1037"/>
      <c r="V559" s="1037"/>
      <c r="W559" s="1037"/>
      <c r="X559" s="1037"/>
      <c r="Y559" s="1037"/>
      <c r="Z559" s="1037"/>
      <c r="AA559" s="1037"/>
      <c r="AB559" s="1037"/>
      <c r="AC559" s="1037"/>
      <c r="AD559" s="1037"/>
      <c r="AE559" s="1037"/>
      <c r="AF559" s="1037"/>
      <c r="AG559" s="1037"/>
      <c r="AH559" s="1037"/>
      <c r="AI559" s="1037"/>
      <c r="AJ559" s="1037"/>
      <c r="AK559" s="1037"/>
      <c r="AL559" s="1037"/>
      <c r="AM559" s="1037"/>
      <c r="AN559" s="1037"/>
      <c r="AO559" s="1037"/>
      <c r="AP559" s="1037"/>
    </row>
    <row r="560" spans="1:42" s="226" customFormat="1">
      <c r="A560" s="2060"/>
      <c r="B560" s="1037"/>
      <c r="C560" s="1037"/>
      <c r="D560" s="1037"/>
      <c r="E560" s="1037"/>
      <c r="F560" s="1037"/>
      <c r="G560" s="1037"/>
      <c r="H560" s="1018"/>
      <c r="I560" s="1037"/>
      <c r="J560" s="1037"/>
      <c r="K560" s="1037"/>
      <c r="L560" s="1037"/>
      <c r="M560" s="1037"/>
      <c r="N560" s="1037"/>
      <c r="O560" s="1037"/>
      <c r="P560" s="1037"/>
      <c r="Q560" s="1037"/>
      <c r="R560" s="1037"/>
      <c r="S560" s="1037"/>
      <c r="T560" s="1037"/>
      <c r="U560" s="1037"/>
      <c r="V560" s="1037"/>
      <c r="W560" s="1037"/>
      <c r="X560" s="1037"/>
      <c r="Y560" s="1037"/>
      <c r="Z560" s="1037"/>
      <c r="AA560" s="1037"/>
      <c r="AB560" s="1037"/>
      <c r="AC560" s="1037"/>
      <c r="AD560" s="1037"/>
      <c r="AE560" s="1037"/>
      <c r="AF560" s="1037"/>
      <c r="AG560" s="1037"/>
      <c r="AH560" s="1037"/>
      <c r="AI560" s="1037"/>
      <c r="AJ560" s="1037"/>
      <c r="AK560" s="1037"/>
      <c r="AL560" s="1037"/>
      <c r="AM560" s="1037"/>
      <c r="AN560" s="1037"/>
      <c r="AO560" s="1037"/>
      <c r="AP560" s="1037"/>
    </row>
    <row r="561" spans="1:42" s="226" customFormat="1">
      <c r="A561" s="2060"/>
      <c r="B561" s="1037"/>
      <c r="C561" s="1037"/>
      <c r="D561" s="1037"/>
      <c r="E561" s="1037"/>
      <c r="F561" s="1037"/>
      <c r="G561" s="1037"/>
      <c r="H561" s="1018"/>
      <c r="I561" s="1037"/>
      <c r="J561" s="1037"/>
      <c r="K561" s="1037"/>
      <c r="L561" s="1037"/>
      <c r="M561" s="1037"/>
      <c r="N561" s="1037"/>
      <c r="O561" s="1037"/>
      <c r="P561" s="1037"/>
      <c r="Q561" s="1037"/>
      <c r="R561" s="1037"/>
      <c r="S561" s="1037"/>
      <c r="T561" s="1037"/>
      <c r="U561" s="1037"/>
      <c r="V561" s="1037"/>
      <c r="W561" s="1037"/>
      <c r="X561" s="1037"/>
      <c r="Y561" s="1037"/>
      <c r="Z561" s="1037"/>
      <c r="AA561" s="1037"/>
      <c r="AB561" s="1037"/>
      <c r="AC561" s="1037"/>
      <c r="AD561" s="1037"/>
      <c r="AE561" s="1037"/>
      <c r="AF561" s="1037"/>
      <c r="AG561" s="1037"/>
      <c r="AH561" s="1037"/>
      <c r="AI561" s="1037"/>
      <c r="AJ561" s="1037"/>
      <c r="AK561" s="1037"/>
      <c r="AL561" s="1037"/>
      <c r="AM561" s="1037"/>
      <c r="AN561" s="1037"/>
      <c r="AO561" s="1037"/>
      <c r="AP561" s="1037"/>
    </row>
    <row r="562" spans="1:42" s="226" customFormat="1">
      <c r="A562" s="2060"/>
      <c r="B562" s="1037"/>
      <c r="C562" s="1037"/>
      <c r="D562" s="1037"/>
      <c r="E562" s="1037"/>
      <c r="F562" s="1037"/>
      <c r="G562" s="1037"/>
      <c r="H562" s="1018"/>
      <c r="I562" s="1037"/>
      <c r="J562" s="1037"/>
      <c r="K562" s="1037"/>
      <c r="L562" s="1037"/>
      <c r="M562" s="1037"/>
      <c r="N562" s="1037"/>
      <c r="O562" s="1037"/>
      <c r="P562" s="1037"/>
      <c r="Q562" s="1037"/>
      <c r="R562" s="1037"/>
      <c r="S562" s="1037"/>
      <c r="T562" s="1037"/>
      <c r="U562" s="1037"/>
      <c r="V562" s="1037"/>
      <c r="W562" s="1037"/>
      <c r="X562" s="1037"/>
      <c r="Y562" s="1037"/>
      <c r="Z562" s="1037"/>
      <c r="AA562" s="1037"/>
      <c r="AB562" s="1037"/>
      <c r="AC562" s="1037"/>
      <c r="AD562" s="1037"/>
      <c r="AE562" s="1037"/>
      <c r="AF562" s="1037"/>
      <c r="AG562" s="1037"/>
      <c r="AH562" s="1037"/>
      <c r="AI562" s="1037"/>
      <c r="AJ562" s="1037"/>
      <c r="AK562" s="1037"/>
      <c r="AL562" s="1037"/>
      <c r="AM562" s="1037"/>
      <c r="AN562" s="1037"/>
      <c r="AO562" s="1037"/>
      <c r="AP562" s="1037"/>
    </row>
    <row r="563" spans="1:42" s="226" customFormat="1">
      <c r="A563" s="2060"/>
      <c r="B563" s="1037"/>
      <c r="C563" s="1037"/>
      <c r="D563" s="1037"/>
      <c r="E563" s="1037"/>
      <c r="F563" s="1037"/>
      <c r="G563" s="1037"/>
      <c r="H563" s="1018"/>
      <c r="I563" s="1037"/>
      <c r="J563" s="1037"/>
      <c r="K563" s="1037"/>
      <c r="L563" s="1037"/>
      <c r="M563" s="1037"/>
      <c r="N563" s="1037"/>
      <c r="O563" s="1037"/>
      <c r="P563" s="1037"/>
      <c r="Q563" s="1037"/>
      <c r="R563" s="1037"/>
      <c r="S563" s="1037"/>
      <c r="T563" s="1037"/>
      <c r="U563" s="1037"/>
      <c r="V563" s="1037"/>
      <c r="W563" s="1037"/>
      <c r="X563" s="1037"/>
      <c r="Y563" s="1037"/>
      <c r="Z563" s="1037"/>
      <c r="AA563" s="1037"/>
      <c r="AB563" s="1037"/>
      <c r="AC563" s="1037"/>
      <c r="AD563" s="1037"/>
      <c r="AE563" s="1037"/>
      <c r="AF563" s="1037"/>
      <c r="AG563" s="1037"/>
      <c r="AH563" s="1037"/>
      <c r="AI563" s="1037"/>
      <c r="AJ563" s="1037"/>
      <c r="AK563" s="1037"/>
      <c r="AL563" s="1037"/>
      <c r="AM563" s="1037"/>
      <c r="AN563" s="1037"/>
      <c r="AO563" s="1037"/>
      <c r="AP563" s="1037"/>
    </row>
    <row r="564" spans="1:42" s="226" customFormat="1">
      <c r="A564" s="2060"/>
      <c r="B564" s="1037"/>
      <c r="C564" s="1037"/>
      <c r="D564" s="1037"/>
      <c r="E564" s="1037"/>
      <c r="F564" s="1037"/>
      <c r="G564" s="1037"/>
      <c r="H564" s="1018"/>
      <c r="I564" s="1037"/>
      <c r="J564" s="1037"/>
      <c r="K564" s="1037"/>
      <c r="L564" s="1037"/>
      <c r="M564" s="1037"/>
      <c r="N564" s="1037"/>
      <c r="O564" s="1037"/>
      <c r="P564" s="1037"/>
      <c r="Q564" s="1037"/>
      <c r="R564" s="1037"/>
      <c r="S564" s="1037"/>
      <c r="T564" s="1037"/>
      <c r="U564" s="1037"/>
      <c r="V564" s="1037"/>
      <c r="W564" s="1037"/>
      <c r="X564" s="1037"/>
      <c r="Y564" s="1037"/>
      <c r="Z564" s="1037"/>
      <c r="AA564" s="1037"/>
      <c r="AB564" s="1037"/>
      <c r="AC564" s="1037"/>
      <c r="AD564" s="1037"/>
      <c r="AE564" s="1037"/>
      <c r="AF564" s="1037"/>
      <c r="AG564" s="1037"/>
      <c r="AH564" s="1037"/>
      <c r="AI564" s="1037"/>
      <c r="AJ564" s="1037"/>
      <c r="AK564" s="1037"/>
      <c r="AL564" s="1037"/>
      <c r="AM564" s="1037"/>
      <c r="AN564" s="1037"/>
      <c r="AO564" s="1037"/>
      <c r="AP564" s="1037"/>
    </row>
    <row r="565" spans="1:42" s="226" customFormat="1">
      <c r="A565" s="2060"/>
      <c r="B565" s="1037"/>
      <c r="C565" s="1037"/>
      <c r="D565" s="1037"/>
      <c r="E565" s="1037"/>
      <c r="F565" s="1037"/>
      <c r="G565" s="1037"/>
      <c r="H565" s="1018"/>
      <c r="I565" s="1037"/>
      <c r="J565" s="1037"/>
      <c r="K565" s="1037"/>
      <c r="L565" s="1037"/>
      <c r="M565" s="1037"/>
      <c r="N565" s="1037"/>
      <c r="O565" s="1037"/>
      <c r="P565" s="1037"/>
      <c r="Q565" s="1037"/>
      <c r="R565" s="1037"/>
      <c r="S565" s="1037"/>
      <c r="T565" s="1037"/>
      <c r="U565" s="1037"/>
      <c r="V565" s="1037"/>
      <c r="W565" s="1037"/>
      <c r="X565" s="1037"/>
      <c r="Y565" s="1037"/>
      <c r="Z565" s="1037"/>
      <c r="AA565" s="1037"/>
      <c r="AB565" s="1037"/>
      <c r="AC565" s="1037"/>
      <c r="AD565" s="1037"/>
      <c r="AE565" s="1037"/>
      <c r="AF565" s="1037"/>
      <c r="AG565" s="1037"/>
      <c r="AH565" s="1037"/>
      <c r="AI565" s="1037"/>
      <c r="AJ565" s="1037"/>
      <c r="AK565" s="1037"/>
      <c r="AL565" s="1037"/>
      <c r="AM565" s="1037"/>
      <c r="AN565" s="1037"/>
      <c r="AO565" s="1037"/>
      <c r="AP565" s="1037"/>
    </row>
    <row r="566" spans="1:42" s="226" customFormat="1">
      <c r="A566" s="2060"/>
      <c r="B566" s="1037"/>
      <c r="C566" s="1037"/>
      <c r="D566" s="1037"/>
      <c r="E566" s="1037"/>
      <c r="F566" s="1037"/>
      <c r="G566" s="1037"/>
      <c r="H566" s="1018"/>
      <c r="I566" s="1037"/>
      <c r="J566" s="1037"/>
      <c r="K566" s="1037"/>
      <c r="L566" s="1037"/>
      <c r="M566" s="1037"/>
      <c r="N566" s="1037"/>
      <c r="O566" s="1037"/>
      <c r="P566" s="1037"/>
      <c r="Q566" s="1037"/>
      <c r="R566" s="1037"/>
      <c r="S566" s="1037"/>
      <c r="T566" s="1037"/>
      <c r="U566" s="1037"/>
      <c r="V566" s="1037"/>
      <c r="W566" s="1037"/>
      <c r="X566" s="1037"/>
      <c r="Y566" s="1037"/>
      <c r="Z566" s="1037"/>
      <c r="AA566" s="1037"/>
      <c r="AB566" s="1037"/>
      <c r="AC566" s="1037"/>
      <c r="AD566" s="1037"/>
      <c r="AE566" s="1037"/>
      <c r="AF566" s="1037"/>
      <c r="AG566" s="1037"/>
      <c r="AH566" s="1037"/>
      <c r="AI566" s="1037"/>
      <c r="AJ566" s="1037"/>
      <c r="AK566" s="1037"/>
      <c r="AL566" s="1037"/>
      <c r="AM566" s="1037"/>
      <c r="AN566" s="1037"/>
      <c r="AO566" s="1037"/>
      <c r="AP566" s="1037"/>
    </row>
    <row r="567" spans="1:42" s="226" customFormat="1">
      <c r="A567" s="2060"/>
      <c r="B567" s="1037"/>
      <c r="C567" s="1037"/>
      <c r="D567" s="1037"/>
      <c r="E567" s="1037"/>
      <c r="F567" s="1037"/>
      <c r="G567" s="1037"/>
      <c r="H567" s="1018"/>
      <c r="I567" s="1037"/>
      <c r="J567" s="1037"/>
      <c r="K567" s="1037"/>
      <c r="L567" s="1037"/>
      <c r="M567" s="1037"/>
      <c r="N567" s="1037"/>
      <c r="O567" s="1037"/>
      <c r="P567" s="1037"/>
      <c r="Q567" s="1037"/>
      <c r="R567" s="1037"/>
      <c r="S567" s="1037"/>
      <c r="T567" s="1037"/>
      <c r="U567" s="1037"/>
      <c r="V567" s="1037"/>
      <c r="W567" s="1037"/>
      <c r="X567" s="1037"/>
      <c r="Y567" s="1037"/>
      <c r="Z567" s="1037"/>
      <c r="AA567" s="1037"/>
      <c r="AB567" s="1037"/>
      <c r="AC567" s="1037"/>
      <c r="AD567" s="1037"/>
      <c r="AE567" s="1037"/>
      <c r="AF567" s="1037"/>
      <c r="AG567" s="1037"/>
      <c r="AH567" s="1037"/>
      <c r="AI567" s="1037"/>
      <c r="AJ567" s="1037"/>
      <c r="AK567" s="1037"/>
      <c r="AL567" s="1037"/>
      <c r="AM567" s="1037"/>
      <c r="AN567" s="1037"/>
      <c r="AO567" s="1037"/>
      <c r="AP567" s="1037"/>
    </row>
    <row r="568" spans="1:42" s="226" customFormat="1">
      <c r="A568" s="2060"/>
      <c r="B568" s="1037"/>
      <c r="C568" s="1037"/>
      <c r="D568" s="1037"/>
      <c r="E568" s="1037"/>
      <c r="F568" s="1037"/>
      <c r="G568" s="1037"/>
      <c r="H568" s="1018"/>
      <c r="I568" s="1037"/>
      <c r="J568" s="1037"/>
      <c r="K568" s="1037"/>
      <c r="L568" s="1037"/>
      <c r="M568" s="1037"/>
      <c r="N568" s="1037"/>
      <c r="O568" s="1037"/>
      <c r="P568" s="1037"/>
      <c r="Q568" s="1037"/>
      <c r="R568" s="1037"/>
      <c r="S568" s="1037"/>
      <c r="T568" s="1037"/>
      <c r="U568" s="1037"/>
      <c r="V568" s="1037"/>
      <c r="W568" s="1037"/>
      <c r="X568" s="1037"/>
      <c r="Y568" s="1037"/>
      <c r="Z568" s="1037"/>
      <c r="AA568" s="1037"/>
      <c r="AB568" s="1037"/>
      <c r="AC568" s="1037"/>
      <c r="AD568" s="1037"/>
      <c r="AE568" s="1037"/>
      <c r="AF568" s="1037"/>
      <c r="AG568" s="1037"/>
      <c r="AH568" s="1037"/>
      <c r="AI568" s="1037"/>
      <c r="AJ568" s="1037"/>
      <c r="AK568" s="1037"/>
      <c r="AL568" s="1037"/>
      <c r="AM568" s="1037"/>
      <c r="AN568" s="1037"/>
      <c r="AO568" s="1037"/>
      <c r="AP568" s="1037"/>
    </row>
    <row r="569" spans="1:42" s="226" customFormat="1">
      <c r="A569" s="2060"/>
      <c r="B569" s="1037"/>
      <c r="C569" s="1037"/>
      <c r="D569" s="1037"/>
      <c r="E569" s="1037"/>
      <c r="F569" s="1037"/>
      <c r="G569" s="1037"/>
      <c r="H569" s="1018"/>
      <c r="I569" s="1037"/>
      <c r="J569" s="1037"/>
      <c r="K569" s="1037"/>
      <c r="L569" s="1037"/>
      <c r="M569" s="1037"/>
      <c r="N569" s="1037"/>
      <c r="O569" s="1037"/>
      <c r="P569" s="1037"/>
      <c r="Q569" s="1037"/>
      <c r="R569" s="1037"/>
      <c r="S569" s="1037"/>
      <c r="T569" s="1037"/>
      <c r="U569" s="1037"/>
      <c r="V569" s="1037"/>
      <c r="W569" s="1037"/>
      <c r="X569" s="1037"/>
      <c r="Y569" s="1037"/>
      <c r="Z569" s="1037"/>
      <c r="AA569" s="1037"/>
      <c r="AB569" s="1037"/>
      <c r="AC569" s="1037"/>
      <c r="AD569" s="1037"/>
      <c r="AE569" s="1037"/>
      <c r="AF569" s="1037"/>
      <c r="AG569" s="1037"/>
      <c r="AH569" s="1037"/>
      <c r="AI569" s="1037"/>
      <c r="AJ569" s="1037"/>
      <c r="AK569" s="1037"/>
      <c r="AL569" s="1037"/>
      <c r="AM569" s="1037"/>
      <c r="AN569" s="1037"/>
      <c r="AO569" s="1037"/>
      <c r="AP569" s="1037"/>
    </row>
    <row r="570" spans="1:42" s="226" customFormat="1">
      <c r="A570" s="2060"/>
      <c r="B570" s="1037"/>
      <c r="C570" s="1037"/>
      <c r="D570" s="1037"/>
      <c r="E570" s="1037"/>
      <c r="F570" s="1037"/>
      <c r="G570" s="1037"/>
      <c r="H570" s="1018"/>
      <c r="I570" s="1037"/>
      <c r="J570" s="1037"/>
      <c r="K570" s="1037"/>
      <c r="L570" s="1037"/>
      <c r="M570" s="1037"/>
      <c r="N570" s="1037"/>
      <c r="O570" s="1037"/>
      <c r="P570" s="1037"/>
      <c r="Q570" s="1037"/>
      <c r="R570" s="1037"/>
      <c r="S570" s="1037"/>
      <c r="T570" s="1037"/>
      <c r="U570" s="1037"/>
      <c r="V570" s="1037"/>
      <c r="W570" s="1037"/>
      <c r="X570" s="1037"/>
      <c r="Y570" s="1037"/>
      <c r="Z570" s="1037"/>
      <c r="AA570" s="1037"/>
      <c r="AB570" s="1037"/>
      <c r="AC570" s="1037"/>
      <c r="AD570" s="1037"/>
      <c r="AE570" s="1037"/>
      <c r="AF570" s="1037"/>
      <c r="AG570" s="1037"/>
      <c r="AH570" s="1037"/>
      <c r="AI570" s="1037"/>
      <c r="AJ570" s="1037"/>
      <c r="AK570" s="1037"/>
      <c r="AL570" s="1037"/>
      <c r="AM570" s="1037"/>
      <c r="AN570" s="1037"/>
      <c r="AO570" s="1037"/>
      <c r="AP570" s="1037"/>
    </row>
    <row r="571" spans="1:42" s="226" customFormat="1">
      <c r="A571" s="2060"/>
      <c r="B571" s="1037"/>
      <c r="C571" s="1037"/>
      <c r="D571" s="1037"/>
      <c r="E571" s="1037"/>
      <c r="F571" s="1037"/>
      <c r="G571" s="1037"/>
      <c r="H571" s="1018"/>
      <c r="I571" s="1037"/>
      <c r="J571" s="1037"/>
      <c r="K571" s="1037"/>
      <c r="L571" s="1037"/>
      <c r="M571" s="1037"/>
      <c r="N571" s="1037"/>
      <c r="O571" s="1037"/>
      <c r="P571" s="1037"/>
      <c r="Q571" s="1037"/>
      <c r="R571" s="1037"/>
      <c r="S571" s="1037"/>
      <c r="T571" s="1037"/>
      <c r="U571" s="1037"/>
      <c r="V571" s="1037"/>
      <c r="W571" s="1037"/>
      <c r="X571" s="1037"/>
      <c r="Y571" s="1037"/>
      <c r="Z571" s="1037"/>
      <c r="AA571" s="1037"/>
      <c r="AB571" s="1037"/>
      <c r="AC571" s="1037"/>
      <c r="AD571" s="1037"/>
      <c r="AE571" s="1037"/>
      <c r="AF571" s="1037"/>
      <c r="AG571" s="1037"/>
      <c r="AH571" s="1037"/>
      <c r="AI571" s="1037"/>
      <c r="AJ571" s="1037"/>
      <c r="AK571" s="1037"/>
      <c r="AL571" s="1037"/>
      <c r="AM571" s="1037"/>
      <c r="AN571" s="1037"/>
      <c r="AO571" s="1037"/>
      <c r="AP571" s="1037"/>
    </row>
    <row r="572" spans="1:42" s="226" customFormat="1">
      <c r="A572" s="2060"/>
      <c r="B572" s="1037"/>
      <c r="C572" s="1037"/>
      <c r="D572" s="1037"/>
      <c r="E572" s="1037"/>
      <c r="F572" s="1037"/>
      <c r="G572" s="1037"/>
      <c r="H572" s="1018"/>
      <c r="I572" s="1037"/>
      <c r="J572" s="1037"/>
      <c r="K572" s="1037"/>
      <c r="L572" s="1037"/>
      <c r="M572" s="1037"/>
      <c r="N572" s="1037"/>
      <c r="O572" s="1037"/>
      <c r="P572" s="1037"/>
      <c r="Q572" s="1037"/>
      <c r="R572" s="1037"/>
      <c r="S572" s="1037"/>
      <c r="T572" s="1037"/>
      <c r="U572" s="1037"/>
      <c r="V572" s="1037"/>
      <c r="W572" s="1037"/>
      <c r="X572" s="1037"/>
      <c r="Y572" s="1037"/>
      <c r="Z572" s="1037"/>
      <c r="AA572" s="1037"/>
      <c r="AB572" s="1037"/>
      <c r="AC572" s="1037"/>
      <c r="AD572" s="1037"/>
      <c r="AE572" s="1037"/>
      <c r="AF572" s="1037"/>
      <c r="AG572" s="1037"/>
      <c r="AH572" s="1037"/>
      <c r="AI572" s="1037"/>
      <c r="AJ572" s="1037"/>
      <c r="AK572" s="1037"/>
      <c r="AL572" s="1037"/>
      <c r="AM572" s="1037"/>
      <c r="AN572" s="1037"/>
      <c r="AO572" s="1037"/>
      <c r="AP572" s="1037"/>
    </row>
    <row r="573" spans="1:42" s="226" customFormat="1">
      <c r="A573" s="2060"/>
      <c r="B573" s="1037"/>
      <c r="C573" s="1037"/>
      <c r="D573" s="1037"/>
      <c r="E573" s="1037"/>
      <c r="F573" s="1037"/>
      <c r="G573" s="1037"/>
      <c r="H573" s="1018"/>
      <c r="I573" s="1037"/>
      <c r="J573" s="1037"/>
      <c r="K573" s="1037"/>
      <c r="L573" s="1037"/>
      <c r="M573" s="1037"/>
      <c r="N573" s="1037"/>
      <c r="O573" s="1037"/>
      <c r="P573" s="1037"/>
      <c r="Q573" s="1037"/>
      <c r="R573" s="1037"/>
      <c r="S573" s="1037"/>
      <c r="T573" s="1037"/>
      <c r="U573" s="1037"/>
      <c r="V573" s="1037"/>
      <c r="W573" s="1037"/>
      <c r="X573" s="1037"/>
      <c r="Y573" s="1037"/>
      <c r="Z573" s="1037"/>
      <c r="AA573" s="1037"/>
      <c r="AB573" s="1037"/>
      <c r="AC573" s="1037"/>
      <c r="AD573" s="1037"/>
      <c r="AE573" s="1037"/>
      <c r="AF573" s="1037"/>
      <c r="AG573" s="1037"/>
      <c r="AH573" s="1037"/>
      <c r="AI573" s="1037"/>
      <c r="AJ573" s="1037"/>
      <c r="AK573" s="1037"/>
      <c r="AL573" s="1037"/>
      <c r="AM573" s="1037"/>
      <c r="AN573" s="1037"/>
      <c r="AO573" s="1037"/>
      <c r="AP573" s="1037"/>
    </row>
    <row r="574" spans="1:42" s="226" customFormat="1">
      <c r="A574" s="2060"/>
      <c r="B574" s="1037"/>
      <c r="C574" s="1037"/>
      <c r="D574" s="1037"/>
      <c r="E574" s="1037"/>
      <c r="F574" s="1037"/>
      <c r="G574" s="1037"/>
      <c r="H574" s="1018"/>
      <c r="I574" s="1037"/>
      <c r="J574" s="1037"/>
      <c r="K574" s="1037"/>
      <c r="L574" s="1037"/>
      <c r="M574" s="1037"/>
      <c r="N574" s="1037"/>
      <c r="O574" s="1037"/>
      <c r="P574" s="1037"/>
      <c r="Q574" s="1037"/>
      <c r="R574" s="1037"/>
      <c r="S574" s="1037"/>
      <c r="T574" s="1037"/>
      <c r="U574" s="1037"/>
      <c r="V574" s="1037"/>
      <c r="W574" s="1037"/>
      <c r="X574" s="1037"/>
      <c r="Y574" s="1037"/>
      <c r="Z574" s="1037"/>
      <c r="AA574" s="1037"/>
      <c r="AB574" s="1037"/>
      <c r="AC574" s="1037"/>
      <c r="AD574" s="1037"/>
      <c r="AE574" s="1037"/>
      <c r="AF574" s="1037"/>
      <c r="AG574" s="1037"/>
      <c r="AH574" s="1037"/>
      <c r="AI574" s="1037"/>
      <c r="AJ574" s="1037"/>
      <c r="AK574" s="1037"/>
      <c r="AL574" s="1037"/>
      <c r="AM574" s="1037"/>
      <c r="AN574" s="1037"/>
      <c r="AO574" s="1037"/>
      <c r="AP574" s="1037"/>
    </row>
    <row r="575" spans="1:42" s="226" customFormat="1">
      <c r="A575" s="2060"/>
      <c r="B575" s="1037"/>
      <c r="C575" s="1037"/>
      <c r="D575" s="1037"/>
      <c r="E575" s="1037"/>
      <c r="F575" s="1037"/>
      <c r="G575" s="1037"/>
      <c r="H575" s="1018"/>
      <c r="I575" s="1037"/>
      <c r="J575" s="1037"/>
      <c r="K575" s="1037"/>
      <c r="L575" s="1037"/>
      <c r="M575" s="1037"/>
      <c r="N575" s="1037"/>
      <c r="O575" s="1037"/>
      <c r="P575" s="1037"/>
      <c r="Q575" s="1037"/>
      <c r="R575" s="1037"/>
      <c r="S575" s="1037"/>
      <c r="T575" s="1037"/>
      <c r="U575" s="1037"/>
      <c r="V575" s="1037"/>
      <c r="W575" s="1037"/>
      <c r="X575" s="1037"/>
      <c r="Y575" s="1037"/>
      <c r="Z575" s="1037"/>
      <c r="AA575" s="1037"/>
      <c r="AB575" s="1037"/>
      <c r="AC575" s="1037"/>
      <c r="AD575" s="1037"/>
      <c r="AE575" s="1037"/>
      <c r="AF575" s="1037"/>
      <c r="AG575" s="1037"/>
      <c r="AH575" s="1037"/>
      <c r="AI575" s="1037"/>
      <c r="AJ575" s="1037"/>
      <c r="AK575" s="1037"/>
      <c r="AL575" s="1037"/>
      <c r="AM575" s="1037"/>
      <c r="AN575" s="1037"/>
      <c r="AO575" s="1037"/>
      <c r="AP575" s="1037"/>
    </row>
    <row r="576" spans="1:42" s="226" customFormat="1">
      <c r="A576" s="2060"/>
      <c r="B576" s="1037"/>
      <c r="C576" s="1037"/>
      <c r="D576" s="1037"/>
      <c r="E576" s="1037"/>
      <c r="F576" s="1037"/>
      <c r="G576" s="1037"/>
      <c r="H576" s="1018"/>
      <c r="I576" s="1037"/>
      <c r="J576" s="1037"/>
      <c r="K576" s="1037"/>
      <c r="L576" s="1037"/>
      <c r="M576" s="1037"/>
      <c r="N576" s="1037"/>
      <c r="O576" s="1037"/>
      <c r="P576" s="1037"/>
      <c r="Q576" s="1037"/>
      <c r="R576" s="1037"/>
      <c r="S576" s="1037"/>
      <c r="T576" s="1037"/>
      <c r="U576" s="1037"/>
      <c r="V576" s="1037"/>
      <c r="W576" s="1037"/>
      <c r="X576" s="1037"/>
      <c r="Y576" s="1037"/>
      <c r="Z576" s="1037"/>
      <c r="AA576" s="1037"/>
      <c r="AB576" s="1037"/>
      <c r="AC576" s="1037"/>
      <c r="AD576" s="1037"/>
      <c r="AE576" s="1037"/>
      <c r="AF576" s="1037"/>
      <c r="AG576" s="1037"/>
      <c r="AH576" s="1037"/>
      <c r="AI576" s="1037"/>
      <c r="AJ576" s="1037"/>
      <c r="AK576" s="1037"/>
      <c r="AL576" s="1037"/>
      <c r="AM576" s="1037"/>
      <c r="AN576" s="1037"/>
      <c r="AO576" s="1037"/>
      <c r="AP576" s="1037"/>
    </row>
    <row r="577" spans="1:42" s="226" customFormat="1">
      <c r="A577" s="2060"/>
      <c r="B577" s="1037"/>
      <c r="C577" s="1037"/>
      <c r="D577" s="1037"/>
      <c r="E577" s="1037"/>
      <c r="F577" s="1037"/>
      <c r="G577" s="1037"/>
      <c r="H577" s="1018"/>
      <c r="I577" s="1037"/>
      <c r="J577" s="1037"/>
      <c r="K577" s="1037"/>
      <c r="L577" s="1037"/>
      <c r="M577" s="1037"/>
      <c r="N577" s="1037"/>
      <c r="O577" s="1037"/>
      <c r="P577" s="1037"/>
      <c r="Q577" s="1037"/>
      <c r="R577" s="1037"/>
      <c r="S577" s="1037"/>
      <c r="T577" s="1037"/>
      <c r="U577" s="1037"/>
      <c r="V577" s="1037"/>
      <c r="W577" s="1037"/>
      <c r="X577" s="1037"/>
      <c r="Y577" s="1037"/>
      <c r="Z577" s="1037"/>
      <c r="AA577" s="1037"/>
      <c r="AB577" s="1037"/>
      <c r="AC577" s="1037"/>
      <c r="AD577" s="1037"/>
      <c r="AE577" s="1037"/>
      <c r="AF577" s="1037"/>
      <c r="AG577" s="1037"/>
      <c r="AH577" s="1037"/>
      <c r="AI577" s="1037"/>
      <c r="AJ577" s="1037"/>
      <c r="AK577" s="1037"/>
      <c r="AL577" s="1037"/>
      <c r="AM577" s="1037"/>
      <c r="AN577" s="1037"/>
      <c r="AO577" s="1037"/>
      <c r="AP577" s="1037"/>
    </row>
    <row r="578" spans="1:42" s="226" customFormat="1">
      <c r="A578" s="2060"/>
      <c r="B578" s="1037"/>
      <c r="C578" s="1037"/>
      <c r="D578" s="1037"/>
      <c r="E578" s="1037"/>
      <c r="F578" s="1037"/>
      <c r="G578" s="1037"/>
      <c r="H578" s="1018"/>
      <c r="I578" s="1037"/>
      <c r="J578" s="1037"/>
      <c r="K578" s="1037"/>
      <c r="L578" s="1037"/>
      <c r="M578" s="1037"/>
      <c r="N578" s="1037"/>
      <c r="O578" s="1037"/>
      <c r="P578" s="1037"/>
      <c r="Q578" s="1037"/>
      <c r="R578" s="1037"/>
      <c r="S578" s="1037"/>
      <c r="T578" s="1037"/>
      <c r="U578" s="1037"/>
      <c r="V578" s="1037"/>
      <c r="W578" s="1037"/>
      <c r="X578" s="1037"/>
      <c r="Y578" s="1037"/>
      <c r="Z578" s="1037"/>
      <c r="AA578" s="1037"/>
      <c r="AB578" s="1037"/>
      <c r="AC578" s="1037"/>
      <c r="AD578" s="1037"/>
      <c r="AE578" s="1037"/>
      <c r="AF578" s="1037"/>
      <c r="AG578" s="1037"/>
      <c r="AH578" s="1037"/>
      <c r="AI578" s="1037"/>
      <c r="AJ578" s="1037"/>
      <c r="AK578" s="1037"/>
      <c r="AL578" s="1037"/>
      <c r="AM578" s="1037"/>
      <c r="AN578" s="1037"/>
      <c r="AO578" s="1037"/>
      <c r="AP578" s="1037"/>
    </row>
    <row r="579" spans="1:42" s="226" customFormat="1">
      <c r="A579" s="2060"/>
      <c r="B579" s="1037"/>
      <c r="C579" s="1037"/>
      <c r="D579" s="1037"/>
      <c r="E579" s="1037"/>
      <c r="F579" s="1037"/>
      <c r="G579" s="1037"/>
      <c r="H579" s="1018"/>
      <c r="I579" s="1037"/>
      <c r="J579" s="1037"/>
      <c r="K579" s="1037"/>
      <c r="L579" s="1037"/>
      <c r="M579" s="1037"/>
      <c r="N579" s="1037"/>
      <c r="O579" s="1037"/>
      <c r="P579" s="1037"/>
      <c r="Q579" s="1037"/>
      <c r="R579" s="1037"/>
      <c r="S579" s="1037"/>
      <c r="T579" s="1037"/>
      <c r="U579" s="1037"/>
      <c r="V579" s="1037"/>
      <c r="W579" s="1037"/>
      <c r="X579" s="1037"/>
      <c r="Y579" s="1037"/>
      <c r="Z579" s="1037"/>
      <c r="AA579" s="1037"/>
      <c r="AB579" s="1037"/>
      <c r="AC579" s="1037"/>
      <c r="AD579" s="1037"/>
      <c r="AE579" s="1037"/>
      <c r="AF579" s="1037"/>
      <c r="AG579" s="1037"/>
      <c r="AH579" s="1037"/>
      <c r="AI579" s="1037"/>
      <c r="AJ579" s="1037"/>
      <c r="AK579" s="1037"/>
      <c r="AL579" s="1037"/>
      <c r="AM579" s="1037"/>
      <c r="AN579" s="1037"/>
      <c r="AO579" s="1037"/>
      <c r="AP579" s="1037"/>
    </row>
    <row r="580" spans="1:42" s="226" customFormat="1">
      <c r="A580" s="2060"/>
      <c r="B580" s="1037"/>
      <c r="C580" s="1037"/>
      <c r="D580" s="1037"/>
      <c r="E580" s="1037"/>
      <c r="F580" s="1037"/>
      <c r="G580" s="1037"/>
      <c r="H580" s="1018"/>
      <c r="I580" s="1037"/>
      <c r="J580" s="1037"/>
      <c r="K580" s="1037"/>
      <c r="L580" s="1037"/>
      <c r="M580" s="1037"/>
      <c r="N580" s="1037"/>
      <c r="O580" s="1037"/>
      <c r="P580" s="1037"/>
      <c r="Q580" s="1037"/>
      <c r="R580" s="1037"/>
      <c r="S580" s="1037"/>
      <c r="T580" s="1037"/>
      <c r="U580" s="1037"/>
      <c r="V580" s="1037"/>
      <c r="W580" s="1037"/>
      <c r="X580" s="1037"/>
      <c r="Y580" s="1037"/>
      <c r="Z580" s="1037"/>
      <c r="AA580" s="1037"/>
      <c r="AB580" s="1037"/>
      <c r="AC580" s="1037"/>
      <c r="AD580" s="1037"/>
      <c r="AE580" s="1037"/>
      <c r="AF580" s="1037"/>
      <c r="AG580" s="1037"/>
      <c r="AH580" s="1037"/>
      <c r="AI580" s="1037"/>
      <c r="AJ580" s="1037"/>
      <c r="AK580" s="1037"/>
      <c r="AL580" s="1037"/>
      <c r="AM580" s="1037"/>
      <c r="AN580" s="1037"/>
      <c r="AO580" s="1037"/>
      <c r="AP580" s="1037"/>
    </row>
    <row r="581" spans="1:42" s="226" customFormat="1">
      <c r="A581" s="2060"/>
      <c r="B581" s="1037"/>
      <c r="C581" s="1037"/>
      <c r="D581" s="1037"/>
      <c r="E581" s="1037"/>
      <c r="F581" s="1037"/>
      <c r="G581" s="1037"/>
      <c r="H581" s="1018"/>
      <c r="I581" s="1037"/>
      <c r="J581" s="1037"/>
      <c r="K581" s="1037"/>
      <c r="L581" s="1037"/>
      <c r="M581" s="1037"/>
      <c r="N581" s="1037"/>
      <c r="O581" s="1037"/>
      <c r="P581" s="1037"/>
      <c r="Q581" s="1037"/>
      <c r="R581" s="1037"/>
      <c r="S581" s="1037"/>
      <c r="T581" s="1037"/>
      <c r="U581" s="1037"/>
      <c r="V581" s="1037"/>
      <c r="W581" s="1037"/>
      <c r="X581" s="1037"/>
      <c r="Y581" s="1037"/>
      <c r="Z581" s="1037"/>
      <c r="AA581" s="1037"/>
      <c r="AB581" s="1037"/>
      <c r="AC581" s="1037"/>
      <c r="AD581" s="1037"/>
      <c r="AE581" s="1037"/>
      <c r="AF581" s="1037"/>
      <c r="AG581" s="1037"/>
      <c r="AH581" s="1037"/>
      <c r="AI581" s="1037"/>
      <c r="AJ581" s="1037"/>
      <c r="AK581" s="1037"/>
      <c r="AL581" s="1037"/>
      <c r="AM581" s="1037"/>
      <c r="AN581" s="1037"/>
      <c r="AO581" s="1037"/>
      <c r="AP581" s="1037"/>
    </row>
    <row r="582" spans="1:42" s="226" customFormat="1">
      <c r="A582" s="2060"/>
      <c r="B582" s="1037"/>
      <c r="C582" s="1037"/>
      <c r="D582" s="1037"/>
      <c r="E582" s="1037"/>
      <c r="F582" s="1037"/>
      <c r="G582" s="1037"/>
      <c r="H582" s="1018"/>
      <c r="I582" s="1037"/>
      <c r="J582" s="1037"/>
      <c r="K582" s="1037"/>
      <c r="L582" s="1037"/>
      <c r="M582" s="1037"/>
      <c r="N582" s="1037"/>
      <c r="O582" s="1037"/>
      <c r="P582" s="1037"/>
      <c r="Q582" s="1037"/>
      <c r="R582" s="1037"/>
      <c r="S582" s="1037"/>
      <c r="T582" s="1037"/>
      <c r="U582" s="1037"/>
      <c r="V582" s="1037"/>
      <c r="W582" s="1037"/>
      <c r="X582" s="1037"/>
      <c r="Y582" s="1037"/>
      <c r="Z582" s="1037"/>
      <c r="AA582" s="1037"/>
      <c r="AB582" s="1037"/>
      <c r="AC582" s="1037"/>
      <c r="AD582" s="1037"/>
      <c r="AE582" s="1037"/>
      <c r="AF582" s="1037"/>
      <c r="AG582" s="1037"/>
      <c r="AH582" s="1037"/>
      <c r="AI582" s="1037"/>
      <c r="AJ582" s="1037"/>
      <c r="AK582" s="1037"/>
      <c r="AL582" s="1037"/>
      <c r="AM582" s="1037"/>
      <c r="AN582" s="1037"/>
      <c r="AO582" s="1037"/>
      <c r="AP582" s="1037"/>
    </row>
    <row r="583" spans="1:42" s="226" customFormat="1">
      <c r="A583" s="2060"/>
      <c r="B583" s="1037"/>
      <c r="C583" s="1037"/>
      <c r="D583" s="1037"/>
      <c r="E583" s="1037"/>
      <c r="F583" s="1037"/>
      <c r="G583" s="1037"/>
      <c r="H583" s="1018"/>
      <c r="I583" s="1037"/>
      <c r="J583" s="1037"/>
      <c r="K583" s="1037"/>
      <c r="L583" s="1037"/>
      <c r="M583" s="1037"/>
      <c r="N583" s="1037"/>
      <c r="O583" s="1037"/>
      <c r="P583" s="1037"/>
      <c r="Q583" s="1037"/>
      <c r="R583" s="1037"/>
      <c r="S583" s="1037"/>
      <c r="T583" s="1037"/>
      <c r="U583" s="1037"/>
      <c r="V583" s="1037"/>
      <c r="W583" s="1037"/>
      <c r="X583" s="1037"/>
      <c r="Y583" s="1037"/>
      <c r="Z583" s="1037"/>
      <c r="AA583" s="1037"/>
      <c r="AB583" s="1037"/>
      <c r="AC583" s="1037"/>
      <c r="AD583" s="1037"/>
      <c r="AE583" s="1037"/>
      <c r="AF583" s="1037"/>
      <c r="AG583" s="1037"/>
      <c r="AH583" s="1037"/>
      <c r="AI583" s="1037"/>
      <c r="AJ583" s="1037"/>
      <c r="AK583" s="1037"/>
      <c r="AL583" s="1037"/>
      <c r="AM583" s="1037"/>
      <c r="AN583" s="1037"/>
      <c r="AO583" s="1037"/>
      <c r="AP583" s="1037"/>
    </row>
    <row r="584" spans="1:42" s="226" customFormat="1">
      <c r="A584" s="2060"/>
      <c r="B584" s="1037"/>
      <c r="C584" s="1037"/>
      <c r="D584" s="1037"/>
      <c r="E584" s="1037"/>
      <c r="F584" s="1037"/>
      <c r="G584" s="1037"/>
      <c r="H584" s="1018"/>
      <c r="I584" s="1037"/>
      <c r="J584" s="1037"/>
      <c r="K584" s="1037"/>
      <c r="L584" s="1037"/>
      <c r="M584" s="1037"/>
      <c r="N584" s="1037"/>
      <c r="O584" s="1037"/>
      <c r="P584" s="1037"/>
      <c r="Q584" s="1037"/>
      <c r="R584" s="1037"/>
      <c r="S584" s="1037"/>
      <c r="T584" s="1037"/>
      <c r="U584" s="1037"/>
      <c r="V584" s="1037"/>
      <c r="W584" s="1037"/>
      <c r="X584" s="1037"/>
      <c r="Y584" s="1037"/>
      <c r="Z584" s="1037"/>
      <c r="AA584" s="1037"/>
      <c r="AB584" s="1037"/>
      <c r="AC584" s="1037"/>
      <c r="AD584" s="1037"/>
      <c r="AE584" s="1037"/>
      <c r="AF584" s="1037"/>
      <c r="AG584" s="1037"/>
      <c r="AH584" s="1037"/>
      <c r="AI584" s="1037"/>
      <c r="AJ584" s="1037"/>
      <c r="AK584" s="1037"/>
      <c r="AL584" s="1037"/>
      <c r="AM584" s="1037"/>
      <c r="AN584" s="1037"/>
      <c r="AO584" s="1037"/>
      <c r="AP584" s="1037"/>
    </row>
    <row r="585" spans="1:42" s="226" customFormat="1">
      <c r="A585" s="2060"/>
      <c r="B585" s="1037"/>
      <c r="C585" s="1037"/>
      <c r="D585" s="1037"/>
      <c r="E585" s="1037"/>
      <c r="F585" s="1037"/>
      <c r="G585" s="1037"/>
      <c r="H585" s="1018"/>
      <c r="I585" s="1037"/>
      <c r="J585" s="1037"/>
      <c r="K585" s="1037"/>
      <c r="L585" s="1037"/>
      <c r="M585" s="1037"/>
      <c r="N585" s="1037"/>
      <c r="O585" s="1037"/>
      <c r="P585" s="1037"/>
      <c r="Q585" s="1037"/>
      <c r="R585" s="1037"/>
      <c r="S585" s="1037"/>
      <c r="T585" s="1037"/>
      <c r="U585" s="1037"/>
      <c r="V585" s="1037"/>
      <c r="W585" s="1037"/>
      <c r="X585" s="1037"/>
      <c r="Y585" s="1037"/>
      <c r="Z585" s="1037"/>
      <c r="AA585" s="1037"/>
      <c r="AB585" s="1037"/>
      <c r="AC585" s="1037"/>
      <c r="AD585" s="1037"/>
      <c r="AE585" s="1037"/>
      <c r="AF585" s="1037"/>
      <c r="AG585" s="1037"/>
      <c r="AH585" s="1037"/>
      <c r="AI585" s="1037"/>
      <c r="AJ585" s="1037"/>
      <c r="AK585" s="1037"/>
      <c r="AL585" s="1037"/>
      <c r="AM585" s="1037"/>
      <c r="AN585" s="1037"/>
      <c r="AO585" s="1037"/>
      <c r="AP585" s="1037"/>
    </row>
    <row r="586" spans="1:42" s="226" customFormat="1">
      <c r="A586" s="2060"/>
      <c r="B586" s="1037"/>
      <c r="C586" s="1037"/>
      <c r="D586" s="1037"/>
      <c r="E586" s="1037"/>
      <c r="F586" s="1037"/>
      <c r="G586" s="1037"/>
      <c r="H586" s="1018"/>
      <c r="I586" s="1037"/>
      <c r="J586" s="1037"/>
      <c r="K586" s="1037"/>
      <c r="L586" s="1037"/>
      <c r="M586" s="1037"/>
      <c r="N586" s="1037"/>
      <c r="O586" s="1037"/>
      <c r="P586" s="1037"/>
      <c r="Q586" s="1037"/>
      <c r="R586" s="1037"/>
      <c r="S586" s="1037"/>
      <c r="T586" s="1037"/>
      <c r="U586" s="1037"/>
      <c r="V586" s="1037"/>
      <c r="W586" s="1037"/>
      <c r="X586" s="1037"/>
      <c r="Y586" s="1037"/>
      <c r="Z586" s="1037"/>
      <c r="AA586" s="1037"/>
      <c r="AB586" s="1037"/>
      <c r="AC586" s="1037"/>
      <c r="AD586" s="1037"/>
      <c r="AE586" s="1037"/>
      <c r="AF586" s="1037"/>
      <c r="AG586" s="1037"/>
      <c r="AH586" s="1037"/>
      <c r="AI586" s="1037"/>
      <c r="AJ586" s="1037"/>
      <c r="AK586" s="1037"/>
      <c r="AL586" s="1037"/>
      <c r="AM586" s="1037"/>
      <c r="AN586" s="1037"/>
      <c r="AO586" s="1037"/>
      <c r="AP586" s="1037"/>
    </row>
    <row r="587" spans="1:42" s="226" customFormat="1">
      <c r="A587" s="2060"/>
      <c r="B587" s="1037"/>
      <c r="C587" s="1037"/>
      <c r="D587" s="1037"/>
      <c r="E587" s="1037"/>
      <c r="F587" s="1037"/>
      <c r="G587" s="1037"/>
      <c r="H587" s="1018"/>
      <c r="I587" s="1037"/>
      <c r="J587" s="1037"/>
      <c r="K587" s="1037"/>
      <c r="L587" s="1037"/>
      <c r="M587" s="1037"/>
      <c r="N587" s="1037"/>
      <c r="O587" s="1037"/>
      <c r="P587" s="1037"/>
      <c r="Q587" s="1037"/>
      <c r="R587" s="1037"/>
      <c r="S587" s="1037"/>
      <c r="T587" s="1037"/>
      <c r="U587" s="1037"/>
      <c r="V587" s="1037"/>
      <c r="W587" s="1037"/>
      <c r="X587" s="1037"/>
      <c r="Y587" s="1037"/>
      <c r="Z587" s="1037"/>
      <c r="AA587" s="1037"/>
      <c r="AB587" s="1037"/>
      <c r="AC587" s="1037"/>
      <c r="AD587" s="1037"/>
      <c r="AE587" s="1037"/>
      <c r="AF587" s="1037"/>
      <c r="AG587" s="1037"/>
      <c r="AH587" s="1037"/>
      <c r="AI587" s="1037"/>
      <c r="AJ587" s="1037"/>
      <c r="AK587" s="1037"/>
      <c r="AL587" s="1037"/>
      <c r="AM587" s="1037"/>
      <c r="AN587" s="1037"/>
      <c r="AO587" s="1037"/>
      <c r="AP587" s="1037"/>
    </row>
    <row r="588" spans="1:42" s="226" customFormat="1">
      <c r="A588" s="2060"/>
      <c r="B588" s="1037"/>
      <c r="C588" s="1037"/>
      <c r="D588" s="1037"/>
      <c r="E588" s="1037"/>
      <c r="F588" s="1037"/>
      <c r="G588" s="1037"/>
      <c r="H588" s="1018"/>
      <c r="I588" s="1037"/>
      <c r="J588" s="1037"/>
      <c r="K588" s="1037"/>
      <c r="L588" s="1037"/>
      <c r="M588" s="1037"/>
      <c r="N588" s="1037"/>
      <c r="O588" s="1037"/>
      <c r="P588" s="1037"/>
      <c r="Q588" s="1037"/>
      <c r="R588" s="1037"/>
      <c r="S588" s="1037"/>
      <c r="T588" s="1037"/>
      <c r="U588" s="1037"/>
      <c r="V588" s="1037"/>
      <c r="W588" s="1037"/>
      <c r="X588" s="1037"/>
      <c r="Y588" s="1037"/>
      <c r="Z588" s="1037"/>
      <c r="AA588" s="1037"/>
      <c r="AB588" s="1037"/>
      <c r="AC588" s="1037"/>
      <c r="AD588" s="1037"/>
      <c r="AE588" s="1037"/>
      <c r="AF588" s="1037"/>
      <c r="AG588" s="1037"/>
      <c r="AH588" s="1037"/>
      <c r="AI588" s="1037"/>
      <c r="AJ588" s="1037"/>
      <c r="AK588" s="1037"/>
      <c r="AL588" s="1037"/>
      <c r="AM588" s="1037"/>
      <c r="AN588" s="1037"/>
      <c r="AO588" s="1037"/>
      <c r="AP588" s="1037"/>
    </row>
    <row r="589" spans="1:42" s="226" customFormat="1">
      <c r="A589" s="2060"/>
      <c r="B589" s="1037"/>
      <c r="C589" s="1037"/>
      <c r="D589" s="1037"/>
      <c r="E589" s="1037"/>
      <c r="F589" s="1037"/>
      <c r="G589" s="1037"/>
      <c r="H589" s="1018"/>
      <c r="I589" s="1037"/>
      <c r="J589" s="1037"/>
      <c r="K589" s="1037"/>
      <c r="L589" s="1037"/>
      <c r="M589" s="1037"/>
      <c r="N589" s="1037"/>
      <c r="O589" s="1037"/>
      <c r="P589" s="1037"/>
      <c r="Q589" s="1037"/>
      <c r="R589" s="1037"/>
      <c r="S589" s="1037"/>
      <c r="T589" s="1037"/>
      <c r="U589" s="1037"/>
      <c r="V589" s="1037"/>
      <c r="W589" s="1037"/>
      <c r="X589" s="1037"/>
      <c r="Y589" s="1037"/>
      <c r="Z589" s="1037"/>
      <c r="AA589" s="1037"/>
      <c r="AB589" s="1037"/>
      <c r="AC589" s="1037"/>
      <c r="AD589" s="1037"/>
      <c r="AE589" s="1037"/>
      <c r="AF589" s="1037"/>
      <c r="AG589" s="1037"/>
      <c r="AH589" s="1037"/>
      <c r="AI589" s="1037"/>
      <c r="AJ589" s="1037"/>
      <c r="AK589" s="1037"/>
      <c r="AL589" s="1037"/>
      <c r="AM589" s="1037"/>
      <c r="AN589" s="1037"/>
      <c r="AO589" s="1037"/>
      <c r="AP589" s="1037"/>
    </row>
    <row r="590" spans="1:42" s="226" customFormat="1">
      <c r="A590" s="2060"/>
      <c r="B590" s="1037"/>
      <c r="C590" s="1037"/>
      <c r="D590" s="1037"/>
      <c r="E590" s="1037"/>
      <c r="F590" s="1037"/>
      <c r="G590" s="1037"/>
      <c r="H590" s="1018"/>
      <c r="I590" s="1037"/>
      <c r="J590" s="1037"/>
      <c r="K590" s="1037"/>
      <c r="L590" s="1037"/>
      <c r="M590" s="1037"/>
      <c r="N590" s="1037"/>
      <c r="O590" s="1037"/>
      <c r="P590" s="1037"/>
      <c r="Q590" s="1037"/>
      <c r="R590" s="1037"/>
      <c r="S590" s="1037"/>
      <c r="T590" s="1037"/>
      <c r="U590" s="1037"/>
      <c r="V590" s="1037"/>
      <c r="W590" s="1037"/>
      <c r="X590" s="1037"/>
      <c r="Y590" s="1037"/>
      <c r="Z590" s="1037"/>
      <c r="AA590" s="1037"/>
      <c r="AB590" s="1037"/>
      <c r="AC590" s="1037"/>
      <c r="AD590" s="1037"/>
      <c r="AE590" s="1037"/>
      <c r="AF590" s="1037"/>
      <c r="AG590" s="1037"/>
      <c r="AH590" s="1037"/>
      <c r="AI590" s="1037"/>
      <c r="AJ590" s="1037"/>
      <c r="AK590" s="1037"/>
      <c r="AL590" s="1037"/>
      <c r="AM590" s="1037"/>
      <c r="AN590" s="1037"/>
      <c r="AO590" s="1037"/>
      <c r="AP590" s="1037"/>
    </row>
    <row r="591" spans="1:42" s="226" customFormat="1">
      <c r="A591" s="2060"/>
      <c r="B591" s="1037"/>
      <c r="C591" s="1037"/>
      <c r="D591" s="1037"/>
      <c r="E591" s="1037"/>
      <c r="F591" s="1037"/>
      <c r="G591" s="1037"/>
      <c r="H591" s="1018"/>
      <c r="I591" s="1037"/>
      <c r="J591" s="1037"/>
      <c r="K591" s="1037"/>
      <c r="L591" s="1037"/>
      <c r="M591" s="1037"/>
      <c r="N591" s="1037"/>
      <c r="O591" s="1037"/>
      <c r="P591" s="1037"/>
      <c r="Q591" s="1037"/>
      <c r="R591" s="1037"/>
      <c r="S591" s="1037"/>
      <c r="T591" s="1037"/>
      <c r="U591" s="1037"/>
      <c r="V591" s="1037"/>
      <c r="W591" s="1037"/>
      <c r="X591" s="1037"/>
      <c r="Y591" s="1037"/>
      <c r="Z591" s="1037"/>
      <c r="AA591" s="1037"/>
      <c r="AB591" s="1037"/>
      <c r="AC591" s="1037"/>
      <c r="AD591" s="1037"/>
      <c r="AE591" s="1037"/>
      <c r="AF591" s="1037"/>
      <c r="AG591" s="1037"/>
      <c r="AH591" s="1037"/>
      <c r="AI591" s="1037"/>
      <c r="AJ591" s="1037"/>
      <c r="AK591" s="1037"/>
      <c r="AL591" s="1037"/>
      <c r="AM591" s="1037"/>
      <c r="AN591" s="1037"/>
      <c r="AO591" s="1037"/>
      <c r="AP591" s="1037"/>
    </row>
    <row r="592" spans="1:42" s="226" customFormat="1">
      <c r="A592" s="2060"/>
      <c r="B592" s="1037"/>
      <c r="C592" s="1037"/>
      <c r="D592" s="1037"/>
      <c r="E592" s="1037"/>
      <c r="F592" s="1037"/>
      <c r="G592" s="1037"/>
      <c r="H592" s="1018"/>
      <c r="I592" s="1037"/>
      <c r="J592" s="1037"/>
      <c r="K592" s="1037"/>
      <c r="L592" s="1037"/>
      <c r="M592" s="1037"/>
      <c r="N592" s="1037"/>
      <c r="O592" s="1037"/>
      <c r="P592" s="1037"/>
      <c r="Q592" s="1037"/>
      <c r="R592" s="1037"/>
      <c r="S592" s="1037"/>
      <c r="T592" s="1037"/>
      <c r="U592" s="1037"/>
      <c r="V592" s="1037"/>
      <c r="W592" s="1037"/>
      <c r="X592" s="1037"/>
      <c r="Y592" s="1037"/>
      <c r="Z592" s="1037"/>
      <c r="AA592" s="1037"/>
      <c r="AB592" s="1037"/>
      <c r="AC592" s="1037"/>
      <c r="AD592" s="1037"/>
      <c r="AE592" s="1037"/>
      <c r="AF592" s="1037"/>
      <c r="AG592" s="1037"/>
      <c r="AH592" s="1037"/>
      <c r="AI592" s="1037"/>
      <c r="AJ592" s="1037"/>
      <c r="AK592" s="1037"/>
      <c r="AL592" s="1037"/>
      <c r="AM592" s="1037"/>
      <c r="AN592" s="1037"/>
      <c r="AO592" s="1037"/>
      <c r="AP592" s="1037"/>
    </row>
    <row r="593" spans="1:42" s="226" customFormat="1">
      <c r="A593" s="2060"/>
      <c r="B593" s="1037"/>
      <c r="C593" s="1037"/>
      <c r="D593" s="1037"/>
      <c r="E593" s="1037"/>
      <c r="F593" s="1037"/>
      <c r="G593" s="1037"/>
      <c r="H593" s="1018"/>
      <c r="I593" s="1037"/>
      <c r="J593" s="1037"/>
      <c r="K593" s="1037"/>
      <c r="L593" s="1037"/>
      <c r="M593" s="1037"/>
      <c r="N593" s="1037"/>
      <c r="O593" s="1037"/>
      <c r="P593" s="1037"/>
      <c r="Q593" s="1037"/>
      <c r="R593" s="1037"/>
      <c r="S593" s="1037"/>
      <c r="T593" s="1037"/>
      <c r="U593" s="1037"/>
      <c r="V593" s="1037"/>
      <c r="W593" s="1037"/>
      <c r="X593" s="1037"/>
      <c r="Y593" s="1037"/>
      <c r="Z593" s="1037"/>
      <c r="AA593" s="1037"/>
      <c r="AB593" s="1037"/>
      <c r="AC593" s="1037"/>
      <c r="AD593" s="1037"/>
      <c r="AE593" s="1037"/>
      <c r="AF593" s="1037"/>
      <c r="AG593" s="1037"/>
      <c r="AH593" s="1037"/>
      <c r="AI593" s="1037"/>
      <c r="AJ593" s="1037"/>
      <c r="AK593" s="1037"/>
      <c r="AL593" s="1037"/>
      <c r="AM593" s="1037"/>
      <c r="AN593" s="1037"/>
      <c r="AO593" s="1037"/>
      <c r="AP593" s="1037"/>
    </row>
    <row r="594" spans="1:42" s="226" customFormat="1">
      <c r="A594" s="2060"/>
      <c r="B594" s="1037"/>
      <c r="C594" s="1037"/>
      <c r="D594" s="1037"/>
      <c r="E594" s="1037"/>
      <c r="F594" s="1037"/>
      <c r="G594" s="1037"/>
      <c r="H594" s="1018"/>
      <c r="I594" s="1037"/>
      <c r="J594" s="1037"/>
      <c r="K594" s="1037"/>
      <c r="L594" s="1037"/>
      <c r="M594" s="1037"/>
      <c r="N594" s="1037"/>
      <c r="O594" s="1037"/>
      <c r="P594" s="1037"/>
      <c r="Q594" s="1037"/>
      <c r="R594" s="1037"/>
      <c r="S594" s="1037"/>
      <c r="T594" s="1037"/>
      <c r="U594" s="1037"/>
      <c r="V594" s="1037"/>
      <c r="W594" s="1037"/>
      <c r="X594" s="1037"/>
      <c r="Y594" s="1037"/>
      <c r="Z594" s="1037"/>
      <c r="AA594" s="1037"/>
      <c r="AB594" s="1037"/>
      <c r="AC594" s="1037"/>
      <c r="AD594" s="1037"/>
      <c r="AE594" s="1037"/>
      <c r="AF594" s="1037"/>
      <c r="AG594" s="1037"/>
      <c r="AH594" s="1037"/>
      <c r="AI594" s="1037"/>
      <c r="AJ594" s="1037"/>
      <c r="AK594" s="1037"/>
      <c r="AL594" s="1037"/>
      <c r="AM594" s="1037"/>
      <c r="AN594" s="1037"/>
      <c r="AO594" s="1037"/>
      <c r="AP594" s="1037"/>
    </row>
    <row r="595" spans="1:42" s="226" customFormat="1">
      <c r="A595" s="2060"/>
      <c r="B595" s="1037"/>
      <c r="C595" s="1037"/>
      <c r="D595" s="1037"/>
      <c r="E595" s="1037"/>
      <c r="F595" s="1037"/>
      <c r="G595" s="1037"/>
      <c r="H595" s="1018"/>
      <c r="I595" s="1037"/>
      <c r="J595" s="1037"/>
      <c r="K595" s="1037"/>
      <c r="L595" s="1037"/>
      <c r="M595" s="1037"/>
      <c r="N595" s="1037"/>
      <c r="O595" s="1037"/>
      <c r="P595" s="1037"/>
      <c r="Q595" s="1037"/>
      <c r="R595" s="1037"/>
      <c r="S595" s="1037"/>
      <c r="T595" s="1037"/>
      <c r="U595" s="1037"/>
      <c r="V595" s="1037"/>
      <c r="W595" s="1037"/>
      <c r="X595" s="1037"/>
      <c r="Y595" s="1037"/>
      <c r="Z595" s="1037"/>
      <c r="AA595" s="1037"/>
      <c r="AB595" s="1037"/>
      <c r="AC595" s="1037"/>
      <c r="AD595" s="1037"/>
      <c r="AE595" s="1037"/>
      <c r="AF595" s="1037"/>
      <c r="AG595" s="1037"/>
      <c r="AH595" s="1037"/>
      <c r="AI595" s="1037"/>
      <c r="AJ595" s="1037"/>
      <c r="AK595" s="1037"/>
      <c r="AL595" s="1037"/>
      <c r="AM595" s="1037"/>
      <c r="AN595" s="1037"/>
      <c r="AO595" s="1037"/>
      <c r="AP595" s="1037"/>
    </row>
    <row r="596" spans="1:42" s="226" customFormat="1">
      <c r="A596" s="2060"/>
      <c r="B596" s="1037"/>
      <c r="C596" s="1037"/>
      <c r="D596" s="1037"/>
      <c r="E596" s="1037"/>
      <c r="F596" s="1037"/>
      <c r="G596" s="1037"/>
      <c r="H596" s="1018"/>
      <c r="I596" s="1037"/>
      <c r="J596" s="1037"/>
      <c r="K596" s="1037"/>
      <c r="L596" s="1037"/>
      <c r="M596" s="1037"/>
      <c r="N596" s="1037"/>
      <c r="O596" s="1037"/>
      <c r="P596" s="1037"/>
      <c r="Q596" s="1037"/>
      <c r="R596" s="1037"/>
      <c r="S596" s="1037"/>
      <c r="T596" s="1037"/>
      <c r="U596" s="1037"/>
      <c r="V596" s="1037"/>
      <c r="W596" s="1037"/>
      <c r="X596" s="1037"/>
      <c r="Y596" s="1037"/>
      <c r="Z596" s="1037"/>
      <c r="AA596" s="1037"/>
      <c r="AB596" s="1037"/>
      <c r="AC596" s="1037"/>
      <c r="AD596" s="1037"/>
      <c r="AE596" s="1037"/>
      <c r="AF596" s="1037"/>
      <c r="AG596" s="1037"/>
      <c r="AH596" s="1037"/>
      <c r="AI596" s="1037"/>
      <c r="AJ596" s="1037"/>
      <c r="AK596" s="1037"/>
      <c r="AL596" s="1037"/>
      <c r="AM596" s="1037"/>
      <c r="AN596" s="1037"/>
      <c r="AO596" s="1037"/>
      <c r="AP596" s="1037"/>
    </row>
    <row r="597" spans="1:42" s="226" customFormat="1">
      <c r="A597" s="2060"/>
      <c r="B597" s="1037"/>
      <c r="C597" s="1037"/>
      <c r="D597" s="1037"/>
      <c r="E597" s="1037"/>
      <c r="F597" s="1037"/>
      <c r="G597" s="1037"/>
      <c r="H597" s="1018"/>
      <c r="I597" s="1037"/>
      <c r="J597" s="1037"/>
      <c r="K597" s="1037"/>
      <c r="L597" s="1037"/>
      <c r="M597" s="1037"/>
      <c r="N597" s="1037"/>
      <c r="O597" s="1037"/>
      <c r="P597" s="1037"/>
      <c r="Q597" s="1037"/>
      <c r="R597" s="1037"/>
      <c r="S597" s="1037"/>
      <c r="T597" s="1037"/>
      <c r="U597" s="1037"/>
      <c r="V597" s="1037"/>
      <c r="W597" s="1037"/>
      <c r="X597" s="1037"/>
      <c r="Y597" s="1037"/>
      <c r="Z597" s="1037"/>
      <c r="AA597" s="1037"/>
      <c r="AB597" s="1037"/>
      <c r="AC597" s="1037"/>
      <c r="AD597" s="1037"/>
      <c r="AE597" s="1037"/>
      <c r="AF597" s="1037"/>
      <c r="AG597" s="1037"/>
      <c r="AH597" s="1037"/>
      <c r="AI597" s="1037"/>
      <c r="AJ597" s="1037"/>
      <c r="AK597" s="1037"/>
      <c r="AL597" s="1037"/>
      <c r="AM597" s="1037"/>
      <c r="AN597" s="1037"/>
      <c r="AO597" s="1037"/>
      <c r="AP597" s="1037"/>
    </row>
    <row r="598" spans="1:42" s="226" customFormat="1">
      <c r="A598" s="2060"/>
      <c r="B598" s="1037"/>
      <c r="C598" s="1037"/>
      <c r="D598" s="1037"/>
      <c r="E598" s="1037"/>
      <c r="F598" s="1037"/>
      <c r="G598" s="1037"/>
      <c r="H598" s="1018"/>
      <c r="I598" s="1037"/>
      <c r="J598" s="1037"/>
      <c r="K598" s="1037"/>
      <c r="L598" s="1037"/>
      <c r="M598" s="1037"/>
      <c r="N598" s="1037"/>
      <c r="O598" s="1037"/>
      <c r="P598" s="1037"/>
      <c r="Q598" s="1037"/>
      <c r="R598" s="1037"/>
      <c r="S598" s="1037"/>
      <c r="T598" s="1037"/>
      <c r="U598" s="1037"/>
      <c r="V598" s="1037"/>
      <c r="W598" s="1037"/>
      <c r="X598" s="1037"/>
      <c r="Y598" s="1037"/>
      <c r="Z598" s="1037"/>
      <c r="AA598" s="1037"/>
      <c r="AB598" s="1037"/>
      <c r="AC598" s="1037"/>
      <c r="AD598" s="1037"/>
      <c r="AE598" s="1037"/>
      <c r="AF598" s="1037"/>
      <c r="AG598" s="1037"/>
      <c r="AH598" s="1037"/>
      <c r="AI598" s="1037"/>
      <c r="AJ598" s="1037"/>
      <c r="AK598" s="1037"/>
      <c r="AL598" s="1037"/>
      <c r="AM598" s="1037"/>
      <c r="AN598" s="1037"/>
      <c r="AO598" s="1037"/>
      <c r="AP598" s="1037"/>
    </row>
    <row r="599" spans="1:42" s="226" customFormat="1">
      <c r="A599" s="2060"/>
      <c r="B599" s="1037"/>
      <c r="C599" s="1037"/>
      <c r="D599" s="1037"/>
      <c r="E599" s="1037"/>
      <c r="F599" s="1037"/>
      <c r="G599" s="1037"/>
      <c r="H599" s="1018"/>
      <c r="I599" s="1037"/>
      <c r="J599" s="1037"/>
      <c r="K599" s="1037"/>
      <c r="L599" s="1037"/>
      <c r="M599" s="1037"/>
      <c r="N599" s="1037"/>
      <c r="O599" s="1037"/>
      <c r="P599" s="1037"/>
      <c r="Q599" s="1037"/>
      <c r="R599" s="1037"/>
      <c r="S599" s="1037"/>
      <c r="T599" s="1037"/>
      <c r="U599" s="1037"/>
      <c r="V599" s="1037"/>
      <c r="W599" s="1037"/>
      <c r="X599" s="1037"/>
      <c r="Y599" s="1037"/>
      <c r="Z599" s="1037"/>
      <c r="AA599" s="1037"/>
      <c r="AB599" s="1037"/>
      <c r="AC599" s="1037"/>
      <c r="AD599" s="1037"/>
      <c r="AE599" s="1037"/>
      <c r="AF599" s="1037"/>
      <c r="AG599" s="1037"/>
      <c r="AH599" s="1037"/>
      <c r="AI599" s="1037"/>
      <c r="AJ599" s="1037"/>
      <c r="AK599" s="1037"/>
      <c r="AL599" s="1037"/>
      <c r="AM599" s="1037"/>
      <c r="AN599" s="1037"/>
      <c r="AO599" s="1037"/>
      <c r="AP599" s="1037"/>
    </row>
    <row r="600" spans="1:42" s="226" customFormat="1">
      <c r="A600" s="2060"/>
      <c r="B600" s="1037"/>
      <c r="C600" s="1037"/>
      <c r="D600" s="1037"/>
      <c r="E600" s="1037"/>
      <c r="F600" s="1037"/>
      <c r="G600" s="1037"/>
      <c r="H600" s="1018"/>
      <c r="I600" s="1037"/>
      <c r="J600" s="1037"/>
      <c r="K600" s="1037"/>
      <c r="L600" s="1037"/>
      <c r="M600" s="1037"/>
      <c r="N600" s="1037"/>
      <c r="O600" s="1037"/>
      <c r="P600" s="1037"/>
      <c r="Q600" s="1037"/>
      <c r="R600" s="1037"/>
      <c r="S600" s="1037"/>
      <c r="T600" s="1037"/>
      <c r="U600" s="1037"/>
      <c r="V600" s="1037"/>
      <c r="W600" s="1037"/>
      <c r="X600" s="1037"/>
      <c r="Y600" s="1037"/>
      <c r="Z600" s="1037"/>
      <c r="AA600" s="1037"/>
      <c r="AB600" s="1037"/>
      <c r="AC600" s="1037"/>
      <c r="AD600" s="1037"/>
      <c r="AE600" s="1037"/>
      <c r="AF600" s="1037"/>
      <c r="AG600" s="1037"/>
      <c r="AH600" s="1037"/>
      <c r="AI600" s="1037"/>
      <c r="AJ600" s="1037"/>
      <c r="AK600" s="1037"/>
      <c r="AL600" s="1037"/>
      <c r="AM600" s="1037"/>
      <c r="AN600" s="1037"/>
      <c r="AO600" s="1037"/>
      <c r="AP600" s="1037"/>
    </row>
    <row r="601" spans="1:42" s="226" customFormat="1">
      <c r="A601" s="2060"/>
      <c r="B601" s="1037"/>
      <c r="C601" s="1037"/>
      <c r="D601" s="1037"/>
      <c r="E601" s="1037"/>
      <c r="F601" s="1037"/>
      <c r="G601" s="1037"/>
      <c r="H601" s="1018"/>
      <c r="I601" s="1037"/>
      <c r="J601" s="1037"/>
      <c r="K601" s="1037"/>
      <c r="L601" s="1037"/>
      <c r="M601" s="1037"/>
      <c r="N601" s="1037"/>
      <c r="O601" s="1037"/>
      <c r="P601" s="1037"/>
      <c r="Q601" s="1037"/>
      <c r="R601" s="1037"/>
      <c r="S601" s="1037"/>
      <c r="T601" s="1037"/>
      <c r="U601" s="1037"/>
      <c r="V601" s="1037"/>
      <c r="W601" s="1037"/>
      <c r="X601" s="1037"/>
      <c r="Y601" s="1037"/>
      <c r="Z601" s="1037"/>
      <c r="AA601" s="1037"/>
      <c r="AB601" s="1037"/>
      <c r="AC601" s="1037"/>
      <c r="AD601" s="1037"/>
      <c r="AE601" s="1037"/>
      <c r="AF601" s="1037"/>
      <c r="AG601" s="1037"/>
      <c r="AH601" s="1037"/>
      <c r="AI601" s="1037"/>
      <c r="AJ601" s="1037"/>
      <c r="AK601" s="1037"/>
      <c r="AL601" s="1037"/>
      <c r="AM601" s="1037"/>
      <c r="AN601" s="1037"/>
      <c r="AO601" s="1037"/>
      <c r="AP601" s="1037"/>
    </row>
    <row r="602" spans="1:42" s="226" customFormat="1">
      <c r="A602" s="2060"/>
      <c r="B602" s="1037"/>
      <c r="C602" s="1037"/>
      <c r="D602" s="1037"/>
      <c r="E602" s="1037"/>
      <c r="F602" s="1037"/>
      <c r="G602" s="1037"/>
      <c r="H602" s="1018"/>
      <c r="I602" s="1037"/>
      <c r="J602" s="1037"/>
      <c r="K602" s="1037"/>
      <c r="L602" s="1037"/>
      <c r="M602" s="1037"/>
      <c r="N602" s="1037"/>
      <c r="O602" s="1037"/>
      <c r="P602" s="1037"/>
      <c r="Q602" s="1037"/>
      <c r="R602" s="1037"/>
      <c r="S602" s="1037"/>
      <c r="T602" s="1037"/>
      <c r="U602" s="1037"/>
      <c r="V602" s="1037"/>
      <c r="W602" s="1037"/>
      <c r="X602" s="1037"/>
      <c r="Y602" s="1037"/>
      <c r="Z602" s="1037"/>
      <c r="AA602" s="1037"/>
      <c r="AB602" s="1037"/>
      <c r="AC602" s="1037"/>
      <c r="AD602" s="1037"/>
      <c r="AE602" s="1037"/>
      <c r="AF602" s="1037"/>
      <c r="AG602" s="1037"/>
      <c r="AH602" s="1037"/>
      <c r="AI602" s="1037"/>
      <c r="AJ602" s="1037"/>
      <c r="AK602" s="1037"/>
      <c r="AL602" s="1037"/>
      <c r="AM602" s="1037"/>
      <c r="AN602" s="1037"/>
      <c r="AO602" s="1037"/>
      <c r="AP602" s="1037"/>
    </row>
    <row r="603" spans="1:42" s="226" customFormat="1">
      <c r="A603" s="2060"/>
      <c r="B603" s="1037"/>
      <c r="C603" s="1037"/>
      <c r="D603" s="1037"/>
      <c r="E603" s="1037"/>
      <c r="F603" s="1037"/>
      <c r="G603" s="1037"/>
      <c r="H603" s="1018"/>
      <c r="I603" s="1037"/>
      <c r="J603" s="1037"/>
      <c r="K603" s="1037"/>
      <c r="L603" s="1037"/>
      <c r="M603" s="1037"/>
      <c r="N603" s="1037"/>
      <c r="O603" s="1037"/>
      <c r="P603" s="1037"/>
      <c r="Q603" s="1037"/>
      <c r="R603" s="1037"/>
      <c r="S603" s="1037"/>
      <c r="T603" s="1037"/>
      <c r="U603" s="1037"/>
      <c r="V603" s="1037"/>
      <c r="W603" s="1037"/>
      <c r="X603" s="1037"/>
      <c r="Y603" s="1037"/>
      <c r="Z603" s="1037"/>
      <c r="AA603" s="1037"/>
      <c r="AB603" s="1037"/>
      <c r="AC603" s="1037"/>
      <c r="AD603" s="1037"/>
      <c r="AE603" s="1037"/>
      <c r="AF603" s="1037"/>
      <c r="AG603" s="1037"/>
      <c r="AH603" s="1037"/>
      <c r="AI603" s="1037"/>
      <c r="AJ603" s="1037"/>
      <c r="AK603" s="1037"/>
      <c r="AL603" s="1037"/>
      <c r="AM603" s="1037"/>
      <c r="AN603" s="1037"/>
      <c r="AO603" s="1037"/>
      <c r="AP603" s="1037"/>
    </row>
    <row r="604" spans="1:42" s="226" customFormat="1">
      <c r="A604" s="2060"/>
      <c r="B604" s="1037"/>
      <c r="C604" s="1037"/>
      <c r="D604" s="1037"/>
      <c r="E604" s="1037"/>
      <c r="F604" s="1037"/>
      <c r="G604" s="1037"/>
      <c r="H604" s="1018"/>
      <c r="I604" s="1037"/>
      <c r="J604" s="1037"/>
      <c r="K604" s="1037"/>
      <c r="L604" s="1037"/>
      <c r="M604" s="1037"/>
      <c r="N604" s="1037"/>
      <c r="O604" s="1037"/>
      <c r="P604" s="1037"/>
      <c r="Q604" s="1037"/>
      <c r="R604" s="1037"/>
      <c r="S604" s="1037"/>
      <c r="T604" s="1037"/>
      <c r="U604" s="1037"/>
      <c r="V604" s="1037"/>
      <c r="W604" s="1037"/>
      <c r="X604" s="1037"/>
      <c r="Y604" s="1037"/>
      <c r="Z604" s="1037"/>
      <c r="AA604" s="1037"/>
      <c r="AB604" s="1037"/>
      <c r="AC604" s="1037"/>
      <c r="AD604" s="1037"/>
      <c r="AE604" s="1037"/>
      <c r="AF604" s="1037"/>
      <c r="AG604" s="1037"/>
      <c r="AH604" s="1037"/>
      <c r="AI604" s="1037"/>
      <c r="AJ604" s="1037"/>
      <c r="AK604" s="1037"/>
      <c r="AL604" s="1037"/>
      <c r="AM604" s="1037"/>
      <c r="AN604" s="1037"/>
      <c r="AO604" s="1037"/>
      <c r="AP604" s="1037"/>
    </row>
    <row r="605" spans="1:42" s="226" customFormat="1">
      <c r="A605" s="2060"/>
      <c r="B605" s="1037"/>
      <c r="C605" s="1037"/>
      <c r="D605" s="1037"/>
      <c r="E605" s="1037"/>
      <c r="F605" s="1037"/>
      <c r="G605" s="1037"/>
      <c r="H605" s="1018"/>
      <c r="I605" s="1037"/>
      <c r="J605" s="1037"/>
      <c r="K605" s="1037"/>
      <c r="L605" s="1037"/>
      <c r="M605" s="1037"/>
      <c r="N605" s="1037"/>
      <c r="O605" s="1037"/>
      <c r="P605" s="1037"/>
      <c r="Q605" s="1037"/>
      <c r="R605" s="1037"/>
      <c r="S605" s="1037"/>
      <c r="T605" s="1037"/>
      <c r="U605" s="1037"/>
      <c r="V605" s="1037"/>
      <c r="W605" s="1037"/>
      <c r="X605" s="1037"/>
      <c r="Y605" s="1037"/>
      <c r="Z605" s="1037"/>
      <c r="AA605" s="1037"/>
      <c r="AB605" s="1037"/>
      <c r="AC605" s="1037"/>
      <c r="AD605" s="1037"/>
      <c r="AE605" s="1037"/>
      <c r="AF605" s="1037"/>
      <c r="AG605" s="1037"/>
      <c r="AH605" s="1037"/>
      <c r="AI605" s="1037"/>
      <c r="AJ605" s="1037"/>
      <c r="AK605" s="1037"/>
      <c r="AL605" s="1037"/>
      <c r="AM605" s="1037"/>
      <c r="AN605" s="1037"/>
      <c r="AO605" s="1037"/>
      <c r="AP605" s="1037"/>
    </row>
    <row r="606" spans="1:42" s="226" customFormat="1">
      <c r="A606" s="2060"/>
      <c r="B606" s="1037"/>
      <c r="C606" s="1037"/>
      <c r="D606" s="1037"/>
      <c r="E606" s="1037"/>
      <c r="F606" s="1037"/>
      <c r="G606" s="1037"/>
      <c r="H606" s="1018"/>
      <c r="I606" s="1037"/>
      <c r="J606" s="1037"/>
      <c r="K606" s="1037"/>
      <c r="L606" s="1037"/>
      <c r="M606" s="1037"/>
      <c r="N606" s="1037"/>
      <c r="O606" s="1037"/>
      <c r="P606" s="1037"/>
      <c r="Q606" s="1037"/>
      <c r="R606" s="1037"/>
      <c r="S606" s="1037"/>
      <c r="T606" s="1037"/>
      <c r="U606" s="1037"/>
      <c r="V606" s="1037"/>
      <c r="W606" s="1037"/>
      <c r="X606" s="1037"/>
      <c r="Y606" s="1037"/>
      <c r="Z606" s="1037"/>
      <c r="AA606" s="1037"/>
      <c r="AB606" s="1037"/>
      <c r="AC606" s="1037"/>
      <c r="AD606" s="1037"/>
      <c r="AE606" s="1037"/>
      <c r="AF606" s="1037"/>
      <c r="AG606" s="1037"/>
      <c r="AH606" s="1037"/>
      <c r="AI606" s="1037"/>
      <c r="AJ606" s="1037"/>
      <c r="AK606" s="1037"/>
      <c r="AL606" s="1037"/>
      <c r="AM606" s="1037"/>
      <c r="AN606" s="1037"/>
      <c r="AO606" s="1037"/>
      <c r="AP606" s="1037"/>
    </row>
    <row r="607" spans="1:42" s="226" customFormat="1">
      <c r="A607" s="2060"/>
      <c r="B607" s="1037"/>
      <c r="C607" s="1037"/>
      <c r="D607" s="1037"/>
      <c r="E607" s="1037"/>
      <c r="F607" s="1037"/>
      <c r="G607" s="1037"/>
      <c r="H607" s="1018"/>
      <c r="I607" s="1037"/>
      <c r="J607" s="1037"/>
      <c r="K607" s="1037"/>
      <c r="L607" s="1037"/>
      <c r="M607" s="1037"/>
      <c r="N607" s="1037"/>
      <c r="O607" s="1037"/>
      <c r="P607" s="1037"/>
      <c r="Q607" s="1037"/>
      <c r="R607" s="1037"/>
      <c r="S607" s="1037"/>
      <c r="T607" s="1037"/>
      <c r="U607" s="1037"/>
      <c r="V607" s="1037"/>
      <c r="W607" s="1037"/>
      <c r="X607" s="1037"/>
      <c r="Y607" s="1037"/>
      <c r="Z607" s="1037"/>
      <c r="AA607" s="1037"/>
      <c r="AB607" s="1037"/>
      <c r="AC607" s="1037"/>
      <c r="AD607" s="1037"/>
      <c r="AE607" s="1037"/>
      <c r="AF607" s="1037"/>
      <c r="AG607" s="1037"/>
      <c r="AH607" s="1037"/>
      <c r="AI607" s="1037"/>
      <c r="AJ607" s="1037"/>
      <c r="AK607" s="1037"/>
      <c r="AL607" s="1037"/>
      <c r="AM607" s="1037"/>
      <c r="AN607" s="1037"/>
      <c r="AO607" s="1037"/>
      <c r="AP607" s="1037"/>
    </row>
    <row r="608" spans="1:42" s="226" customFormat="1">
      <c r="A608" s="2060"/>
      <c r="B608" s="1037"/>
      <c r="C608" s="1037"/>
      <c r="D608" s="1037"/>
      <c r="E608" s="1037"/>
      <c r="F608" s="1037"/>
      <c r="G608" s="1037"/>
      <c r="H608" s="1018"/>
      <c r="I608" s="1037"/>
      <c r="J608" s="1037"/>
      <c r="K608" s="1037"/>
      <c r="L608" s="1037"/>
      <c r="M608" s="1037"/>
      <c r="N608" s="1037"/>
      <c r="O608" s="1037"/>
      <c r="P608" s="1037"/>
      <c r="Q608" s="1037"/>
      <c r="R608" s="1037"/>
      <c r="S608" s="1037"/>
      <c r="T608" s="1037"/>
      <c r="U608" s="1037"/>
      <c r="V608" s="1037"/>
      <c r="W608" s="1037"/>
      <c r="X608" s="1037"/>
      <c r="Y608" s="1037"/>
      <c r="Z608" s="1037"/>
      <c r="AA608" s="1037"/>
      <c r="AB608" s="1037"/>
      <c r="AC608" s="1037"/>
      <c r="AD608" s="1037"/>
      <c r="AE608" s="1037"/>
      <c r="AF608" s="1037"/>
      <c r="AG608" s="1037"/>
      <c r="AH608" s="1037"/>
      <c r="AI608" s="1037"/>
      <c r="AJ608" s="1037"/>
      <c r="AK608" s="1037"/>
      <c r="AL608" s="1037"/>
      <c r="AM608" s="1037"/>
      <c r="AN608" s="1037"/>
      <c r="AO608" s="1037"/>
      <c r="AP608" s="1037"/>
    </row>
    <row r="609" spans="1:42" s="226" customFormat="1">
      <c r="A609" s="2060"/>
      <c r="B609" s="1037"/>
      <c r="C609" s="1037"/>
      <c r="D609" s="1037"/>
      <c r="E609" s="1037"/>
      <c r="F609" s="1037"/>
      <c r="G609" s="1037"/>
      <c r="H609" s="1018"/>
      <c r="I609" s="1037"/>
      <c r="J609" s="1037"/>
      <c r="K609" s="1037"/>
      <c r="L609" s="1037"/>
      <c r="M609" s="1037"/>
      <c r="N609" s="1037"/>
      <c r="O609" s="1037"/>
      <c r="P609" s="1037"/>
      <c r="Q609" s="1037"/>
      <c r="R609" s="1037"/>
      <c r="S609" s="1037"/>
      <c r="T609" s="1037"/>
      <c r="U609" s="1037"/>
      <c r="V609" s="1037"/>
      <c r="W609" s="1037"/>
      <c r="X609" s="1037"/>
      <c r="Y609" s="1037"/>
      <c r="Z609" s="1037"/>
      <c r="AA609" s="1037"/>
      <c r="AB609" s="1037"/>
      <c r="AC609" s="1037"/>
      <c r="AD609" s="1037"/>
      <c r="AE609" s="1037"/>
      <c r="AF609" s="1037"/>
      <c r="AG609" s="1037"/>
      <c r="AH609" s="1037"/>
      <c r="AI609" s="1037"/>
      <c r="AJ609" s="1037"/>
      <c r="AK609" s="1037"/>
      <c r="AL609" s="1037"/>
      <c r="AM609" s="1037"/>
      <c r="AN609" s="1037"/>
      <c r="AO609" s="1037"/>
      <c r="AP609" s="1037"/>
    </row>
    <row r="610" spans="1:42" s="226" customFormat="1">
      <c r="A610" s="2060"/>
      <c r="B610" s="1037"/>
      <c r="C610" s="1037"/>
      <c r="D610" s="1037"/>
      <c r="E610" s="1037"/>
      <c r="F610" s="1037"/>
      <c r="G610" s="1037"/>
      <c r="H610" s="1018"/>
      <c r="I610" s="1037"/>
      <c r="J610" s="1037"/>
      <c r="K610" s="1037"/>
      <c r="L610" s="1037"/>
      <c r="M610" s="1037"/>
      <c r="N610" s="1037"/>
      <c r="O610" s="1037"/>
      <c r="P610" s="1037"/>
      <c r="Q610" s="1037"/>
      <c r="R610" s="1037"/>
      <c r="S610" s="1037"/>
      <c r="T610" s="1037"/>
      <c r="U610" s="1037"/>
      <c r="V610" s="1037"/>
      <c r="W610" s="1037"/>
      <c r="X610" s="1037"/>
      <c r="Y610" s="1037"/>
      <c r="Z610" s="1037"/>
      <c r="AA610" s="1037"/>
      <c r="AB610" s="1037"/>
      <c r="AC610" s="1037"/>
      <c r="AD610" s="1037"/>
      <c r="AE610" s="1037"/>
      <c r="AF610" s="1037"/>
      <c r="AG610" s="1037"/>
      <c r="AH610" s="1037"/>
      <c r="AI610" s="1037"/>
      <c r="AJ610" s="1037"/>
      <c r="AK610" s="1037"/>
      <c r="AL610" s="1037"/>
      <c r="AM610" s="1037"/>
      <c r="AN610" s="1037"/>
      <c r="AO610" s="1037"/>
      <c r="AP610" s="1037"/>
    </row>
    <row r="611" spans="1:42" s="226" customFormat="1">
      <c r="A611" s="2060"/>
      <c r="B611" s="1037"/>
      <c r="C611" s="1037"/>
      <c r="D611" s="1037"/>
      <c r="E611" s="1037"/>
      <c r="F611" s="1037"/>
      <c r="G611" s="1037"/>
      <c r="H611" s="1018"/>
      <c r="I611" s="1037"/>
      <c r="J611" s="1037"/>
      <c r="K611" s="1037"/>
      <c r="L611" s="1037"/>
      <c r="M611" s="1037"/>
      <c r="N611" s="1037"/>
      <c r="O611" s="1037"/>
      <c r="P611" s="1037"/>
      <c r="Q611" s="1037"/>
      <c r="R611" s="1037"/>
      <c r="S611" s="1037"/>
      <c r="T611" s="1037"/>
      <c r="U611" s="1037"/>
      <c r="V611" s="1037"/>
      <c r="W611" s="1037"/>
      <c r="X611" s="1037"/>
      <c r="Y611" s="1037"/>
      <c r="Z611" s="1037"/>
      <c r="AA611" s="1037"/>
      <c r="AB611" s="1037"/>
      <c r="AC611" s="1037"/>
      <c r="AD611" s="1037"/>
      <c r="AE611" s="1037"/>
      <c r="AF611" s="1037"/>
      <c r="AG611" s="1037"/>
      <c r="AH611" s="1037"/>
      <c r="AI611" s="1037"/>
      <c r="AJ611" s="1037"/>
      <c r="AK611" s="1037"/>
      <c r="AL611" s="1037"/>
      <c r="AM611" s="1037"/>
      <c r="AN611" s="1037"/>
      <c r="AO611" s="1037"/>
      <c r="AP611" s="1037"/>
    </row>
    <row r="612" spans="1:42" s="226" customFormat="1">
      <c r="A612" s="2060"/>
      <c r="B612" s="1037"/>
      <c r="C612" s="1037"/>
      <c r="D612" s="1037"/>
      <c r="E612" s="1037"/>
      <c r="F612" s="1037"/>
      <c r="G612" s="1037"/>
      <c r="H612" s="1018"/>
      <c r="I612" s="1037"/>
      <c r="J612" s="1037"/>
      <c r="K612" s="1037"/>
      <c r="L612" s="1037"/>
      <c r="M612" s="1037"/>
      <c r="N612" s="1037"/>
      <c r="O612" s="1037"/>
      <c r="P612" s="1037"/>
      <c r="Q612" s="1037"/>
      <c r="R612" s="1037"/>
      <c r="S612" s="1037"/>
      <c r="T612" s="1037"/>
      <c r="U612" s="1037"/>
      <c r="V612" s="1037"/>
      <c r="W612" s="1037"/>
      <c r="X612" s="1037"/>
      <c r="Y612" s="1037"/>
      <c r="Z612" s="1037"/>
      <c r="AA612" s="1037"/>
      <c r="AB612" s="1037"/>
      <c r="AC612" s="1037"/>
      <c r="AD612" s="1037"/>
      <c r="AE612" s="1037"/>
      <c r="AF612" s="1037"/>
      <c r="AG612" s="1037"/>
      <c r="AH612" s="1037"/>
      <c r="AI612" s="1037"/>
      <c r="AJ612" s="1037"/>
      <c r="AK612" s="1037"/>
      <c r="AL612" s="1037"/>
      <c r="AM612" s="1037"/>
      <c r="AN612" s="1037"/>
      <c r="AO612" s="1037"/>
      <c r="AP612" s="1037"/>
    </row>
    <row r="613" spans="1:42" s="226" customFormat="1">
      <c r="A613" s="2060"/>
      <c r="B613" s="1037"/>
      <c r="C613" s="1037"/>
      <c r="D613" s="1037"/>
      <c r="E613" s="1037"/>
      <c r="F613" s="1037"/>
      <c r="G613" s="1037"/>
      <c r="H613" s="1018"/>
      <c r="I613" s="1037"/>
      <c r="J613" s="1037"/>
      <c r="K613" s="1037"/>
      <c r="L613" s="1037"/>
      <c r="M613" s="1037"/>
      <c r="N613" s="1037"/>
      <c r="O613" s="1037"/>
      <c r="P613" s="1037"/>
      <c r="Q613" s="1037"/>
      <c r="R613" s="1037"/>
      <c r="S613" s="1037"/>
      <c r="T613" s="1037"/>
      <c r="U613" s="1037"/>
      <c r="V613" s="1037"/>
      <c r="W613" s="1037"/>
      <c r="X613" s="1037"/>
      <c r="Y613" s="1037"/>
      <c r="Z613" s="1037"/>
      <c r="AA613" s="1037"/>
      <c r="AB613" s="1037"/>
      <c r="AC613" s="1037"/>
      <c r="AD613" s="1037"/>
      <c r="AE613" s="1037"/>
      <c r="AF613" s="1037"/>
      <c r="AG613" s="1037"/>
      <c r="AH613" s="1037"/>
      <c r="AI613" s="1037"/>
      <c r="AJ613" s="1037"/>
      <c r="AK613" s="1037"/>
      <c r="AL613" s="1037"/>
      <c r="AM613" s="1037"/>
      <c r="AN613" s="1037"/>
      <c r="AO613" s="1037"/>
      <c r="AP613" s="1037"/>
    </row>
    <row r="614" spans="1:42" s="226" customFormat="1">
      <c r="A614" s="2060"/>
      <c r="B614" s="1037"/>
      <c r="C614" s="1037"/>
      <c r="D614" s="1037"/>
      <c r="E614" s="1037"/>
      <c r="F614" s="1037"/>
      <c r="G614" s="1037"/>
      <c r="H614" s="1018"/>
      <c r="I614" s="1037"/>
      <c r="J614" s="1037"/>
      <c r="K614" s="1037"/>
      <c r="L614" s="1037"/>
      <c r="M614" s="1037"/>
      <c r="N614" s="1037"/>
      <c r="O614" s="1037"/>
      <c r="P614" s="1037"/>
      <c r="Q614" s="1037"/>
      <c r="R614" s="1037"/>
      <c r="S614" s="1037"/>
      <c r="T614" s="1037"/>
      <c r="U614" s="1037"/>
      <c r="V614" s="1037"/>
      <c r="W614" s="1037"/>
      <c r="X614" s="1037"/>
      <c r="Y614" s="1037"/>
      <c r="Z614" s="1037"/>
      <c r="AA614" s="1037"/>
      <c r="AB614" s="1037"/>
      <c r="AC614" s="1037"/>
      <c r="AD614" s="1037"/>
      <c r="AE614" s="1037"/>
      <c r="AF614" s="1037"/>
      <c r="AG614" s="1037"/>
      <c r="AH614" s="1037"/>
      <c r="AI614" s="1037"/>
      <c r="AJ614" s="1037"/>
      <c r="AK614" s="1037"/>
      <c r="AL614" s="1037"/>
      <c r="AM614" s="1037"/>
      <c r="AN614" s="1037"/>
      <c r="AO614" s="1037"/>
      <c r="AP614" s="1037"/>
    </row>
    <row r="615" spans="1:42" s="226" customFormat="1">
      <c r="A615" s="2060"/>
      <c r="B615" s="1037"/>
      <c r="C615" s="1037"/>
      <c r="D615" s="1037"/>
      <c r="E615" s="1037"/>
      <c r="F615" s="1037"/>
      <c r="G615" s="1037"/>
      <c r="H615" s="1018"/>
      <c r="I615" s="1037"/>
      <c r="J615" s="1037"/>
      <c r="K615" s="1037"/>
      <c r="L615" s="1037"/>
      <c r="M615" s="1037"/>
      <c r="N615" s="1037"/>
      <c r="O615" s="1037"/>
      <c r="P615" s="1037"/>
      <c r="Q615" s="1037"/>
      <c r="R615" s="1037"/>
      <c r="S615" s="1037"/>
      <c r="T615" s="1037"/>
      <c r="U615" s="1037"/>
      <c r="V615" s="1037"/>
      <c r="W615" s="1037"/>
      <c r="X615" s="1037"/>
      <c r="Y615" s="1037"/>
      <c r="Z615" s="1037"/>
      <c r="AA615" s="1037"/>
      <c r="AB615" s="1037"/>
      <c r="AC615" s="1037"/>
      <c r="AD615" s="1037"/>
      <c r="AE615" s="1037"/>
      <c r="AF615" s="1037"/>
      <c r="AG615" s="1037"/>
      <c r="AH615" s="1037"/>
      <c r="AI615" s="1037"/>
      <c r="AJ615" s="1037"/>
      <c r="AK615" s="1037"/>
      <c r="AL615" s="1037"/>
      <c r="AM615" s="1037"/>
      <c r="AN615" s="1037"/>
      <c r="AO615" s="1037"/>
      <c r="AP615" s="1037"/>
    </row>
    <row r="616" spans="1:42" s="226" customFormat="1">
      <c r="A616" s="2060"/>
      <c r="B616" s="1037"/>
      <c r="C616" s="1037"/>
      <c r="D616" s="1037"/>
      <c r="E616" s="1037"/>
      <c r="F616" s="1037"/>
      <c r="G616" s="1037"/>
      <c r="H616" s="1018"/>
      <c r="I616" s="1037"/>
      <c r="J616" s="1037"/>
      <c r="K616" s="1037"/>
      <c r="L616" s="1037"/>
      <c r="M616" s="1037"/>
      <c r="N616" s="1037"/>
      <c r="O616" s="1037"/>
      <c r="P616" s="1037"/>
      <c r="Q616" s="1037"/>
      <c r="R616" s="1037"/>
      <c r="S616" s="1037"/>
      <c r="T616" s="1037"/>
      <c r="U616" s="1037"/>
      <c r="V616" s="1037"/>
      <c r="W616" s="1037"/>
      <c r="X616" s="1037"/>
      <c r="Y616" s="1037"/>
      <c r="Z616" s="1037"/>
      <c r="AA616" s="1037"/>
      <c r="AB616" s="1037"/>
      <c r="AC616" s="1037"/>
      <c r="AD616" s="1037"/>
      <c r="AE616" s="1037"/>
      <c r="AF616" s="1037"/>
      <c r="AG616" s="1037"/>
      <c r="AH616" s="1037"/>
      <c r="AI616" s="1037"/>
      <c r="AJ616" s="1037"/>
      <c r="AK616" s="1037"/>
      <c r="AL616" s="1037"/>
      <c r="AM616" s="1037"/>
      <c r="AN616" s="1037"/>
      <c r="AO616" s="1037"/>
      <c r="AP616" s="1037"/>
    </row>
    <row r="617" spans="1:42" s="226" customFormat="1">
      <c r="A617" s="2060"/>
      <c r="B617" s="1037"/>
      <c r="C617" s="1037"/>
      <c r="D617" s="1037"/>
      <c r="E617" s="1037"/>
      <c r="F617" s="1037"/>
      <c r="G617" s="1037"/>
      <c r="H617" s="1018"/>
      <c r="I617" s="1037"/>
      <c r="J617" s="1037"/>
      <c r="K617" s="1037"/>
      <c r="L617" s="1037"/>
      <c r="M617" s="1037"/>
      <c r="N617" s="1037"/>
      <c r="O617" s="1037"/>
      <c r="P617" s="1037"/>
      <c r="Q617" s="1037"/>
      <c r="R617" s="1037"/>
      <c r="S617" s="1037"/>
      <c r="T617" s="1037"/>
      <c r="U617" s="1037"/>
      <c r="V617" s="1037"/>
      <c r="W617" s="1037"/>
      <c r="X617" s="1037"/>
      <c r="Y617" s="1037"/>
      <c r="Z617" s="1037"/>
      <c r="AA617" s="1037"/>
      <c r="AB617" s="1037"/>
      <c r="AC617" s="1037"/>
      <c r="AD617" s="1037"/>
      <c r="AE617" s="1037"/>
      <c r="AF617" s="1037"/>
      <c r="AG617" s="1037"/>
      <c r="AH617" s="1037"/>
      <c r="AI617" s="1037"/>
      <c r="AJ617" s="1037"/>
      <c r="AK617" s="1037"/>
      <c r="AL617" s="1037"/>
      <c r="AM617" s="1037"/>
      <c r="AN617" s="1037"/>
      <c r="AO617" s="1037"/>
      <c r="AP617" s="1037"/>
    </row>
    <row r="618" spans="1:42" s="226" customFormat="1">
      <c r="A618" s="2060"/>
      <c r="B618" s="1037"/>
      <c r="C618" s="1037"/>
      <c r="D618" s="1037"/>
      <c r="E618" s="1037"/>
      <c r="F618" s="1037"/>
      <c r="G618" s="1037"/>
      <c r="H618" s="1018"/>
      <c r="I618" s="1037"/>
      <c r="J618" s="1037"/>
      <c r="K618" s="1037"/>
      <c r="L618" s="1037"/>
      <c r="M618" s="1037"/>
      <c r="N618" s="1037"/>
      <c r="O618" s="1037"/>
      <c r="P618" s="1037"/>
      <c r="Q618" s="1037"/>
      <c r="R618" s="1037"/>
      <c r="S618" s="1037"/>
      <c r="T618" s="1037"/>
      <c r="U618" s="1037"/>
      <c r="V618" s="1037"/>
      <c r="W618" s="1037"/>
      <c r="X618" s="1037"/>
      <c r="Y618" s="1037"/>
      <c r="Z618" s="1037"/>
      <c r="AA618" s="1037"/>
      <c r="AB618" s="1037"/>
      <c r="AC618" s="1037"/>
      <c r="AD618" s="1037"/>
      <c r="AE618" s="1037"/>
      <c r="AF618" s="1037"/>
      <c r="AG618" s="1037"/>
      <c r="AH618" s="1037"/>
      <c r="AI618" s="1037"/>
      <c r="AJ618" s="1037"/>
      <c r="AK618" s="1037"/>
      <c r="AL618" s="1037"/>
      <c r="AM618" s="1037"/>
      <c r="AN618" s="1037"/>
      <c r="AO618" s="1037"/>
      <c r="AP618" s="1037"/>
    </row>
    <row r="619" spans="1:42" s="226" customFormat="1">
      <c r="A619" s="2060"/>
      <c r="B619" s="1037"/>
      <c r="C619" s="1037"/>
      <c r="D619" s="1037"/>
      <c r="E619" s="1037"/>
      <c r="F619" s="1037"/>
      <c r="G619" s="1037"/>
      <c r="H619" s="1018"/>
      <c r="I619" s="1037"/>
      <c r="J619" s="1037"/>
      <c r="K619" s="1037"/>
      <c r="L619" s="1037"/>
      <c r="M619" s="1037"/>
      <c r="N619" s="1037"/>
      <c r="O619" s="1037"/>
      <c r="P619" s="1037"/>
      <c r="Q619" s="1037"/>
      <c r="R619" s="1037"/>
      <c r="S619" s="1037"/>
      <c r="T619" s="1037"/>
      <c r="U619" s="1037"/>
      <c r="V619" s="1037"/>
      <c r="W619" s="1037"/>
      <c r="X619" s="1037"/>
      <c r="Y619" s="1037"/>
      <c r="Z619" s="1037"/>
      <c r="AA619" s="1037"/>
      <c r="AB619" s="1037"/>
      <c r="AC619" s="1037"/>
      <c r="AD619" s="1037"/>
      <c r="AE619" s="1037"/>
      <c r="AF619" s="1037"/>
      <c r="AG619" s="1037"/>
      <c r="AH619" s="1037"/>
      <c r="AI619" s="1037"/>
      <c r="AJ619" s="1037"/>
      <c r="AK619" s="1037"/>
      <c r="AL619" s="1037"/>
      <c r="AM619" s="1037"/>
      <c r="AN619" s="1037"/>
      <c r="AO619" s="1037"/>
      <c r="AP619" s="1037"/>
    </row>
    <row r="620" spans="1:42" s="226" customFormat="1">
      <c r="A620" s="2060"/>
      <c r="B620" s="1037"/>
      <c r="C620" s="1037"/>
      <c r="D620" s="1037"/>
      <c r="E620" s="1037"/>
      <c r="F620" s="1037"/>
      <c r="G620" s="1037"/>
      <c r="H620" s="1018"/>
      <c r="I620" s="1037"/>
      <c r="J620" s="1037"/>
      <c r="K620" s="1037"/>
      <c r="L620" s="1037"/>
      <c r="M620" s="1037"/>
      <c r="N620" s="1037"/>
      <c r="O620" s="1037"/>
      <c r="P620" s="1037"/>
      <c r="Q620" s="1037"/>
      <c r="R620" s="1037"/>
      <c r="S620" s="1037"/>
      <c r="T620" s="1037"/>
      <c r="U620" s="1037"/>
      <c r="V620" s="1037"/>
      <c r="W620" s="1037"/>
      <c r="X620" s="1037"/>
      <c r="Y620" s="1037"/>
      <c r="Z620" s="1037"/>
      <c r="AA620" s="1037"/>
      <c r="AB620" s="1037"/>
      <c r="AC620" s="1037"/>
      <c r="AD620" s="1037"/>
      <c r="AE620" s="1037"/>
      <c r="AF620" s="1037"/>
      <c r="AG620" s="1037"/>
      <c r="AH620" s="1037"/>
      <c r="AI620" s="1037"/>
      <c r="AJ620" s="1037"/>
      <c r="AK620" s="1037"/>
      <c r="AL620" s="1037"/>
      <c r="AM620" s="1037"/>
      <c r="AN620" s="1037"/>
      <c r="AO620" s="1037"/>
      <c r="AP620" s="1037"/>
    </row>
    <row r="621" spans="1:42" s="226" customFormat="1">
      <c r="A621" s="2060"/>
      <c r="B621" s="1037"/>
      <c r="C621" s="1037"/>
      <c r="D621" s="1037"/>
      <c r="E621" s="1037"/>
      <c r="F621" s="1037"/>
      <c r="G621" s="1037"/>
      <c r="H621" s="1018"/>
      <c r="I621" s="1037"/>
      <c r="J621" s="1037"/>
      <c r="K621" s="1037"/>
      <c r="L621" s="1037"/>
      <c r="M621" s="1037"/>
      <c r="N621" s="1037"/>
      <c r="O621" s="1037"/>
      <c r="P621" s="1037"/>
      <c r="Q621" s="1037"/>
      <c r="R621" s="1037"/>
      <c r="S621" s="1037"/>
      <c r="T621" s="1037"/>
      <c r="U621" s="1037"/>
      <c r="V621" s="1037"/>
      <c r="W621" s="1037"/>
      <c r="X621" s="1037"/>
      <c r="Y621" s="1037"/>
      <c r="Z621" s="1037"/>
      <c r="AA621" s="1037"/>
      <c r="AB621" s="1037"/>
      <c r="AC621" s="1037"/>
      <c r="AD621" s="1037"/>
      <c r="AE621" s="1037"/>
      <c r="AF621" s="1037"/>
      <c r="AG621" s="1037"/>
      <c r="AH621" s="1037"/>
      <c r="AI621" s="1037"/>
      <c r="AJ621" s="1037"/>
      <c r="AK621" s="1037"/>
      <c r="AL621" s="1037"/>
      <c r="AM621" s="1037"/>
      <c r="AN621" s="1037"/>
      <c r="AO621" s="1037"/>
      <c r="AP621" s="1037"/>
    </row>
    <row r="622" spans="1:42" s="226" customFormat="1">
      <c r="A622" s="2060"/>
      <c r="B622" s="1037"/>
      <c r="C622" s="1037"/>
      <c r="D622" s="1037"/>
      <c r="E622" s="1037"/>
      <c r="F622" s="1037"/>
      <c r="G622" s="1037"/>
      <c r="H622" s="1018"/>
      <c r="I622" s="1037"/>
      <c r="J622" s="1037"/>
      <c r="K622" s="1037"/>
      <c r="L622" s="1037"/>
      <c r="M622" s="1037"/>
      <c r="N622" s="1037"/>
      <c r="O622" s="1037"/>
      <c r="P622" s="1037"/>
      <c r="Q622" s="1037"/>
      <c r="R622" s="1037"/>
      <c r="S622" s="1037"/>
      <c r="T622" s="1037"/>
      <c r="U622" s="1037"/>
      <c r="V622" s="1037"/>
      <c r="W622" s="1037"/>
      <c r="X622" s="1037"/>
      <c r="Y622" s="1037"/>
      <c r="Z622" s="1037"/>
      <c r="AA622" s="1037"/>
      <c r="AB622" s="1037"/>
      <c r="AC622" s="1037"/>
      <c r="AD622" s="1037"/>
      <c r="AE622" s="1037"/>
      <c r="AF622" s="1037"/>
      <c r="AG622" s="1037"/>
      <c r="AH622" s="1037"/>
      <c r="AI622" s="1037"/>
      <c r="AJ622" s="1037"/>
      <c r="AK622" s="1037"/>
      <c r="AL622" s="1037"/>
      <c r="AM622" s="1037"/>
      <c r="AN622" s="1037"/>
      <c r="AO622" s="1037"/>
      <c r="AP622" s="1037"/>
    </row>
    <row r="623" spans="1:42" s="226" customFormat="1">
      <c r="A623" s="2060"/>
      <c r="B623" s="1037"/>
      <c r="C623" s="1037"/>
      <c r="D623" s="1037"/>
      <c r="E623" s="1037"/>
      <c r="F623" s="1037"/>
      <c r="G623" s="1037"/>
      <c r="H623" s="1018"/>
      <c r="I623" s="1037"/>
      <c r="J623" s="1037"/>
      <c r="K623" s="1037"/>
      <c r="L623" s="1037"/>
      <c r="M623" s="1037"/>
      <c r="N623" s="1037"/>
      <c r="O623" s="1037"/>
      <c r="P623" s="1037"/>
      <c r="Q623" s="1037"/>
      <c r="R623" s="1037"/>
      <c r="S623" s="1037"/>
      <c r="T623" s="1037"/>
      <c r="U623" s="1037"/>
      <c r="V623" s="1037"/>
      <c r="W623" s="1037"/>
      <c r="X623" s="1037"/>
      <c r="Y623" s="1037"/>
      <c r="Z623" s="1037"/>
      <c r="AA623" s="1037"/>
      <c r="AB623" s="1037"/>
      <c r="AC623" s="1037"/>
      <c r="AD623" s="1037"/>
      <c r="AE623" s="1037"/>
      <c r="AF623" s="1037"/>
      <c r="AG623" s="1037"/>
      <c r="AH623" s="1037"/>
      <c r="AI623" s="1037"/>
      <c r="AJ623" s="1037"/>
      <c r="AK623" s="1037"/>
      <c r="AL623" s="1037"/>
      <c r="AM623" s="1037"/>
      <c r="AN623" s="1037"/>
      <c r="AO623" s="1037"/>
      <c r="AP623" s="1037"/>
    </row>
    <row r="624" spans="1:42" s="226" customFormat="1">
      <c r="A624" s="2060"/>
      <c r="B624" s="1037"/>
      <c r="C624" s="1037"/>
      <c r="D624" s="1037"/>
      <c r="E624" s="1037"/>
      <c r="F624" s="1037"/>
      <c r="G624" s="1037"/>
      <c r="H624" s="1018"/>
      <c r="I624" s="1037"/>
      <c r="J624" s="1037"/>
      <c r="K624" s="1037"/>
      <c r="L624" s="1037"/>
      <c r="M624" s="1037"/>
      <c r="N624" s="1037"/>
      <c r="O624" s="1037"/>
      <c r="P624" s="1037"/>
      <c r="Q624" s="1037"/>
      <c r="R624" s="1037"/>
      <c r="S624" s="1037"/>
      <c r="T624" s="1037"/>
      <c r="U624" s="1037"/>
      <c r="V624" s="1037"/>
      <c r="W624" s="1037"/>
      <c r="X624" s="1037"/>
      <c r="Y624" s="1037"/>
      <c r="Z624" s="1037"/>
      <c r="AA624" s="1037"/>
      <c r="AB624" s="1037"/>
      <c r="AC624" s="1037"/>
      <c r="AD624" s="1037"/>
      <c r="AE624" s="1037"/>
      <c r="AF624" s="1037"/>
      <c r="AG624" s="1037"/>
      <c r="AH624" s="1037"/>
      <c r="AI624" s="1037"/>
      <c r="AJ624" s="1037"/>
      <c r="AK624" s="1037"/>
      <c r="AL624" s="1037"/>
      <c r="AM624" s="1037"/>
      <c r="AN624" s="1037"/>
      <c r="AO624" s="1037"/>
      <c r="AP624" s="1037"/>
    </row>
    <row r="625" spans="1:42" s="226" customFormat="1">
      <c r="A625" s="2060"/>
      <c r="B625" s="1037"/>
      <c r="C625" s="1037"/>
      <c r="D625" s="1037"/>
      <c r="E625" s="1037"/>
      <c r="F625" s="1037"/>
      <c r="G625" s="1037"/>
      <c r="H625" s="1018"/>
      <c r="I625" s="1037"/>
      <c r="J625" s="1037"/>
      <c r="K625" s="1037"/>
      <c r="L625" s="1037"/>
      <c r="M625" s="1037"/>
      <c r="N625" s="1037"/>
      <c r="O625" s="1037"/>
      <c r="P625" s="1037"/>
      <c r="Q625" s="1037"/>
      <c r="R625" s="1037"/>
      <c r="S625" s="1037"/>
      <c r="T625" s="1037"/>
      <c r="U625" s="1037"/>
      <c r="V625" s="1037"/>
      <c r="W625" s="1037"/>
      <c r="X625" s="1037"/>
      <c r="Y625" s="1037"/>
      <c r="Z625" s="1037"/>
      <c r="AA625" s="1037"/>
      <c r="AB625" s="1037"/>
      <c r="AC625" s="1037"/>
      <c r="AD625" s="1037"/>
      <c r="AE625" s="1037"/>
      <c r="AF625" s="1037"/>
      <c r="AG625" s="1037"/>
      <c r="AH625" s="1037"/>
      <c r="AI625" s="1037"/>
      <c r="AJ625" s="1037"/>
      <c r="AK625" s="1037"/>
      <c r="AL625" s="1037"/>
      <c r="AM625" s="1037"/>
      <c r="AN625" s="1037"/>
      <c r="AO625" s="1037"/>
      <c r="AP625" s="1037"/>
    </row>
    <row r="626" spans="1:42" s="226" customFormat="1">
      <c r="A626" s="2060"/>
      <c r="B626" s="1037"/>
      <c r="C626" s="1037"/>
      <c r="D626" s="1037"/>
      <c r="E626" s="1037"/>
      <c r="F626" s="1037"/>
      <c r="G626" s="1037"/>
      <c r="H626" s="1018"/>
      <c r="I626" s="1037"/>
      <c r="J626" s="1037"/>
      <c r="K626" s="1037"/>
      <c r="L626" s="1037"/>
      <c r="M626" s="1037"/>
      <c r="N626" s="1037"/>
      <c r="O626" s="1037"/>
      <c r="P626" s="1037"/>
      <c r="Q626" s="1037"/>
      <c r="R626" s="1037"/>
      <c r="S626" s="1037"/>
      <c r="T626" s="1037"/>
      <c r="U626" s="1037"/>
      <c r="V626" s="1037"/>
      <c r="W626" s="1037"/>
      <c r="X626" s="1037"/>
      <c r="Y626" s="1037"/>
      <c r="Z626" s="1037"/>
      <c r="AA626" s="1037"/>
      <c r="AB626" s="1037"/>
      <c r="AC626" s="1037"/>
      <c r="AD626" s="1037"/>
      <c r="AE626" s="1037"/>
      <c r="AF626" s="1037"/>
      <c r="AG626" s="1037"/>
      <c r="AH626" s="1037"/>
      <c r="AI626" s="1037"/>
      <c r="AJ626" s="1037"/>
      <c r="AK626" s="1037"/>
      <c r="AL626" s="1037"/>
      <c r="AM626" s="1037"/>
      <c r="AN626" s="1037"/>
      <c r="AO626" s="1037"/>
      <c r="AP626" s="1037"/>
    </row>
    <row r="627" spans="1:42" s="226" customFormat="1">
      <c r="A627" s="2060"/>
      <c r="B627" s="1037"/>
      <c r="C627" s="1037"/>
      <c r="D627" s="1037"/>
      <c r="E627" s="1037"/>
      <c r="F627" s="1037"/>
      <c r="G627" s="1037"/>
      <c r="H627" s="1018"/>
      <c r="I627" s="1037"/>
      <c r="J627" s="1037"/>
      <c r="K627" s="1037"/>
      <c r="L627" s="1037"/>
      <c r="M627" s="1037"/>
      <c r="N627" s="1037"/>
      <c r="O627" s="1037"/>
      <c r="P627" s="1037"/>
      <c r="Q627" s="1037"/>
      <c r="R627" s="1037"/>
      <c r="S627" s="1037"/>
      <c r="T627" s="1037"/>
      <c r="U627" s="1037"/>
      <c r="V627" s="1037"/>
      <c r="W627" s="1037"/>
      <c r="X627" s="1037"/>
      <c r="Y627" s="1037"/>
      <c r="Z627" s="1037"/>
      <c r="AA627" s="1037"/>
      <c r="AB627" s="1037"/>
      <c r="AC627" s="1037"/>
      <c r="AD627" s="1037"/>
      <c r="AE627" s="1037"/>
      <c r="AF627" s="1037"/>
      <c r="AG627" s="1037"/>
      <c r="AH627" s="1037"/>
      <c r="AI627" s="1037"/>
      <c r="AJ627" s="1037"/>
      <c r="AK627" s="1037"/>
      <c r="AL627" s="1037"/>
      <c r="AM627" s="1037"/>
      <c r="AN627" s="1037"/>
      <c r="AO627" s="1037"/>
      <c r="AP627" s="1037"/>
    </row>
    <row r="628" spans="1:42" s="226" customFormat="1">
      <c r="A628" s="2060"/>
      <c r="B628" s="1037"/>
      <c r="C628" s="1037"/>
      <c r="D628" s="1037"/>
      <c r="E628" s="1037"/>
      <c r="F628" s="1037"/>
      <c r="G628" s="1037"/>
      <c r="H628" s="1018"/>
      <c r="I628" s="1037"/>
      <c r="J628" s="1037"/>
      <c r="K628" s="1037"/>
      <c r="L628" s="1037"/>
      <c r="M628" s="1037"/>
      <c r="N628" s="1037"/>
      <c r="O628" s="1037"/>
      <c r="P628" s="1037"/>
      <c r="Q628" s="1037"/>
      <c r="R628" s="1037"/>
      <c r="S628" s="1037"/>
      <c r="T628" s="1037"/>
      <c r="U628" s="1037"/>
      <c r="V628" s="1037"/>
      <c r="W628" s="1037"/>
      <c r="X628" s="1037"/>
      <c r="Y628" s="1037"/>
      <c r="Z628" s="1037"/>
      <c r="AA628" s="1037"/>
      <c r="AB628" s="1037"/>
      <c r="AC628" s="1037"/>
      <c r="AD628" s="1037"/>
      <c r="AE628" s="1037"/>
      <c r="AF628" s="1037"/>
      <c r="AG628" s="1037"/>
      <c r="AH628" s="1037"/>
      <c r="AI628" s="1037"/>
      <c r="AJ628" s="1037"/>
      <c r="AK628" s="1037"/>
      <c r="AL628" s="1037"/>
      <c r="AM628" s="1037"/>
      <c r="AN628" s="1037"/>
      <c r="AO628" s="1037"/>
      <c r="AP628" s="1037"/>
    </row>
    <row r="629" spans="1:42" s="226" customFormat="1">
      <c r="A629" s="2060"/>
      <c r="B629" s="1037"/>
      <c r="C629" s="1037"/>
      <c r="D629" s="1037"/>
      <c r="E629" s="1037"/>
      <c r="F629" s="1037"/>
      <c r="G629" s="1037"/>
      <c r="H629" s="1018"/>
      <c r="I629" s="1037"/>
      <c r="J629" s="1037"/>
      <c r="K629" s="1037"/>
      <c r="L629" s="1037"/>
      <c r="M629" s="1037"/>
      <c r="N629" s="1037"/>
      <c r="O629" s="1037"/>
      <c r="P629" s="1037"/>
      <c r="Q629" s="1037"/>
      <c r="R629" s="1037"/>
      <c r="S629" s="1037"/>
      <c r="T629" s="1037"/>
      <c r="U629" s="1037"/>
      <c r="V629" s="1037"/>
      <c r="W629" s="1037"/>
      <c r="X629" s="1037"/>
      <c r="Y629" s="1037"/>
      <c r="Z629" s="1037"/>
      <c r="AA629" s="1037"/>
      <c r="AB629" s="1037"/>
      <c r="AC629" s="1037"/>
      <c r="AD629" s="1037"/>
      <c r="AE629" s="1037"/>
      <c r="AF629" s="1037"/>
      <c r="AG629" s="1037"/>
      <c r="AH629" s="1037"/>
      <c r="AI629" s="1037"/>
      <c r="AJ629" s="1037"/>
      <c r="AK629" s="1037"/>
      <c r="AL629" s="1037"/>
      <c r="AM629" s="1037"/>
      <c r="AN629" s="1037"/>
      <c r="AO629" s="1037"/>
      <c r="AP629" s="1037"/>
    </row>
    <row r="630" spans="1:42" s="226" customFormat="1">
      <c r="A630" s="2060"/>
      <c r="B630" s="1037"/>
      <c r="C630" s="1037"/>
      <c r="D630" s="1037"/>
      <c r="E630" s="1037"/>
      <c r="F630" s="1037"/>
      <c r="G630" s="1037"/>
      <c r="H630" s="1018"/>
      <c r="I630" s="1037"/>
      <c r="J630" s="1037"/>
      <c r="K630" s="1037"/>
      <c r="L630" s="1037"/>
      <c r="M630" s="1037"/>
      <c r="N630" s="1037"/>
      <c r="O630" s="1037"/>
      <c r="P630" s="1037"/>
      <c r="Q630" s="1037"/>
      <c r="R630" s="1037"/>
      <c r="S630" s="1037"/>
      <c r="T630" s="1037"/>
      <c r="U630" s="1037"/>
      <c r="V630" s="1037"/>
      <c r="W630" s="1037"/>
      <c r="X630" s="1037"/>
      <c r="Y630" s="1037"/>
      <c r="Z630" s="1037"/>
      <c r="AA630" s="1037"/>
      <c r="AB630" s="1037"/>
      <c r="AC630" s="1037"/>
      <c r="AD630" s="1037"/>
      <c r="AE630" s="1037"/>
      <c r="AF630" s="1037"/>
      <c r="AG630" s="1037"/>
      <c r="AH630" s="1037"/>
      <c r="AI630" s="1037"/>
      <c r="AJ630" s="1037"/>
      <c r="AK630" s="1037"/>
      <c r="AL630" s="1037"/>
      <c r="AM630" s="1037"/>
      <c r="AN630" s="1037"/>
      <c r="AO630" s="1037"/>
      <c r="AP630" s="1037"/>
    </row>
    <row r="631" spans="1:42" s="226" customFormat="1">
      <c r="A631" s="2060"/>
      <c r="B631" s="1037"/>
      <c r="C631" s="1037"/>
      <c r="D631" s="1037"/>
      <c r="E631" s="1037"/>
      <c r="F631" s="1037"/>
      <c r="G631" s="1037"/>
      <c r="H631" s="1018"/>
      <c r="I631" s="1037"/>
      <c r="J631" s="1037"/>
      <c r="K631" s="1037"/>
      <c r="L631" s="1037"/>
      <c r="M631" s="1037"/>
      <c r="N631" s="1037"/>
      <c r="O631" s="1037"/>
      <c r="P631" s="1037"/>
      <c r="Q631" s="1037"/>
      <c r="R631" s="1037"/>
      <c r="S631" s="1037"/>
      <c r="T631" s="1037"/>
      <c r="U631" s="1037"/>
      <c r="V631" s="1037"/>
      <c r="W631" s="1037"/>
      <c r="X631" s="1037"/>
      <c r="Y631" s="1037"/>
      <c r="Z631" s="1037"/>
      <c r="AA631" s="1037"/>
      <c r="AB631" s="1037"/>
      <c r="AC631" s="1037"/>
      <c r="AD631" s="1037"/>
      <c r="AE631" s="1037"/>
      <c r="AF631" s="1037"/>
      <c r="AG631" s="1037"/>
      <c r="AH631" s="1037"/>
      <c r="AI631" s="1037"/>
      <c r="AJ631" s="1037"/>
      <c r="AK631" s="1037"/>
      <c r="AL631" s="1037"/>
      <c r="AM631" s="1037"/>
      <c r="AN631" s="1037"/>
      <c r="AO631" s="1037"/>
      <c r="AP631" s="1037"/>
    </row>
    <row r="632" spans="1:42" s="226" customFormat="1">
      <c r="A632" s="2060"/>
      <c r="B632" s="1037"/>
      <c r="C632" s="1037"/>
      <c r="D632" s="1037"/>
      <c r="E632" s="1037"/>
      <c r="F632" s="1037"/>
      <c r="G632" s="1037"/>
      <c r="H632" s="1018"/>
      <c r="I632" s="1037"/>
      <c r="J632" s="1037"/>
      <c r="K632" s="1037"/>
      <c r="L632" s="1037"/>
      <c r="M632" s="1037"/>
      <c r="N632" s="1037"/>
      <c r="O632" s="1037"/>
      <c r="P632" s="1037"/>
      <c r="Q632" s="1037"/>
      <c r="R632" s="1037"/>
      <c r="S632" s="1037"/>
      <c r="T632" s="1037"/>
      <c r="U632" s="1037"/>
      <c r="V632" s="1037"/>
      <c r="W632" s="1037"/>
      <c r="X632" s="1037"/>
      <c r="Y632" s="1037"/>
      <c r="Z632" s="1037"/>
      <c r="AA632" s="1037"/>
      <c r="AB632" s="1037"/>
      <c r="AC632" s="1037"/>
      <c r="AD632" s="1037"/>
      <c r="AE632" s="1037"/>
      <c r="AF632" s="1037"/>
      <c r="AG632" s="1037"/>
      <c r="AH632" s="1037"/>
      <c r="AI632" s="1037"/>
      <c r="AJ632" s="1037"/>
      <c r="AK632" s="1037"/>
      <c r="AL632" s="1037"/>
      <c r="AM632" s="1037"/>
      <c r="AN632" s="1037"/>
      <c r="AO632" s="1037"/>
      <c r="AP632" s="1037"/>
    </row>
    <row r="633" spans="1:42" s="226" customFormat="1">
      <c r="A633" s="2060"/>
      <c r="B633" s="1037"/>
      <c r="C633" s="1037"/>
      <c r="D633" s="1037"/>
      <c r="E633" s="1037"/>
      <c r="F633" s="1037"/>
      <c r="G633" s="1037"/>
      <c r="H633" s="1018"/>
      <c r="I633" s="1037"/>
      <c r="J633" s="1037"/>
      <c r="K633" s="1037"/>
      <c r="L633" s="1037"/>
      <c r="M633" s="1037"/>
      <c r="N633" s="1037"/>
      <c r="O633" s="1037"/>
      <c r="P633" s="1037"/>
      <c r="Q633" s="1037"/>
      <c r="R633" s="1037"/>
      <c r="S633" s="1037"/>
      <c r="T633" s="1037"/>
      <c r="U633" s="1037"/>
      <c r="V633" s="1037"/>
      <c r="W633" s="1037"/>
      <c r="X633" s="1037"/>
      <c r="Y633" s="1037"/>
      <c r="Z633" s="1037"/>
      <c r="AA633" s="1037"/>
      <c r="AB633" s="1037"/>
      <c r="AC633" s="1037"/>
      <c r="AD633" s="1037"/>
      <c r="AE633" s="1037"/>
      <c r="AF633" s="1037"/>
      <c r="AG633" s="1037"/>
      <c r="AH633" s="1037"/>
      <c r="AI633" s="1037"/>
      <c r="AJ633" s="1037"/>
      <c r="AK633" s="1037"/>
      <c r="AL633" s="1037"/>
      <c r="AM633" s="1037"/>
      <c r="AN633" s="1037"/>
      <c r="AO633" s="1037"/>
      <c r="AP633" s="1037"/>
    </row>
    <row r="634" spans="1:42" s="226" customFormat="1">
      <c r="A634" s="2060"/>
      <c r="B634" s="1037"/>
      <c r="C634" s="1037"/>
      <c r="D634" s="1037"/>
      <c r="E634" s="1037"/>
      <c r="F634" s="1037"/>
      <c r="G634" s="1037"/>
      <c r="H634" s="1018"/>
      <c r="I634" s="1037"/>
      <c r="J634" s="1037"/>
      <c r="K634" s="1037"/>
      <c r="L634" s="1037"/>
      <c r="M634" s="1037"/>
      <c r="N634" s="1037"/>
      <c r="O634" s="1037"/>
      <c r="P634" s="1037"/>
      <c r="Q634" s="1037"/>
      <c r="R634" s="1037"/>
      <c r="S634" s="1037"/>
      <c r="T634" s="1037"/>
      <c r="U634" s="1037"/>
      <c r="V634" s="1037"/>
      <c r="W634" s="1037"/>
      <c r="X634" s="1037"/>
      <c r="Y634" s="1037"/>
      <c r="Z634" s="1037"/>
      <c r="AA634" s="1037"/>
      <c r="AB634" s="1037"/>
      <c r="AC634" s="1037"/>
      <c r="AD634" s="1037"/>
      <c r="AE634" s="1037"/>
      <c r="AF634" s="1037"/>
      <c r="AG634" s="1037"/>
      <c r="AH634" s="1037"/>
      <c r="AI634" s="1037"/>
      <c r="AJ634" s="1037"/>
      <c r="AK634" s="1037"/>
      <c r="AL634" s="1037"/>
      <c r="AM634" s="1037"/>
      <c r="AN634" s="1037"/>
      <c r="AO634" s="1037"/>
      <c r="AP634" s="1037"/>
    </row>
    <row r="635" spans="1:42" s="226" customFormat="1">
      <c r="A635" s="2060"/>
      <c r="B635" s="1037"/>
      <c r="C635" s="1037"/>
      <c r="D635" s="1037"/>
      <c r="E635" s="1037"/>
      <c r="F635" s="1037"/>
      <c r="G635" s="1037"/>
      <c r="H635" s="1018"/>
      <c r="I635" s="1037"/>
      <c r="J635" s="1037"/>
      <c r="K635" s="1037"/>
      <c r="L635" s="1037"/>
      <c r="M635" s="1037"/>
      <c r="N635" s="1037"/>
      <c r="O635" s="1037"/>
      <c r="P635" s="1037"/>
      <c r="Q635" s="1037"/>
      <c r="R635" s="1037"/>
      <c r="S635" s="1037"/>
      <c r="T635" s="1037"/>
      <c r="U635" s="1037"/>
      <c r="V635" s="1037"/>
      <c r="W635" s="1037"/>
      <c r="X635" s="1037"/>
      <c r="Y635" s="1037"/>
      <c r="Z635" s="1037"/>
      <c r="AA635" s="1037"/>
      <c r="AB635" s="1037"/>
      <c r="AC635" s="1037"/>
      <c r="AD635" s="1037"/>
      <c r="AE635" s="1037"/>
      <c r="AF635" s="1037"/>
      <c r="AG635" s="1037"/>
      <c r="AH635" s="1037"/>
      <c r="AI635" s="1037"/>
      <c r="AJ635" s="1037"/>
      <c r="AK635" s="1037"/>
      <c r="AL635" s="1037"/>
      <c r="AM635" s="1037"/>
      <c r="AN635" s="1037"/>
      <c r="AO635" s="1037"/>
      <c r="AP635" s="1037"/>
    </row>
    <row r="636" spans="1:42" s="226" customFormat="1">
      <c r="A636" s="2060"/>
      <c r="B636" s="1037"/>
      <c r="C636" s="1037"/>
      <c r="D636" s="1037"/>
      <c r="E636" s="1037"/>
      <c r="F636" s="1037"/>
      <c r="G636" s="1037"/>
      <c r="H636" s="1018"/>
      <c r="I636" s="1037"/>
      <c r="J636" s="1037"/>
      <c r="K636" s="1037"/>
      <c r="L636" s="1037"/>
      <c r="M636" s="1037"/>
      <c r="N636" s="1037"/>
      <c r="O636" s="1037"/>
      <c r="P636" s="1037"/>
      <c r="Q636" s="1037"/>
      <c r="R636" s="1037"/>
      <c r="S636" s="1037"/>
      <c r="T636" s="1037"/>
      <c r="U636" s="1037"/>
      <c r="V636" s="1037"/>
      <c r="W636" s="1037"/>
      <c r="X636" s="1037"/>
      <c r="Y636" s="1037"/>
      <c r="Z636" s="1037"/>
      <c r="AA636" s="1037"/>
      <c r="AB636" s="1037"/>
      <c r="AC636" s="1037"/>
      <c r="AD636" s="1037"/>
      <c r="AE636" s="1037"/>
      <c r="AF636" s="1037"/>
      <c r="AG636" s="1037"/>
      <c r="AH636" s="1037"/>
      <c r="AI636" s="1037"/>
      <c r="AJ636" s="1037"/>
      <c r="AK636" s="1037"/>
      <c r="AL636" s="1037"/>
      <c r="AM636" s="1037"/>
      <c r="AN636" s="1037"/>
      <c r="AO636" s="1037"/>
      <c r="AP636" s="1037"/>
    </row>
    <row r="637" spans="1:42" s="226" customFormat="1">
      <c r="A637" s="2060"/>
      <c r="B637" s="1037"/>
      <c r="C637" s="1037"/>
      <c r="D637" s="1037"/>
      <c r="E637" s="1037"/>
      <c r="F637" s="1037"/>
      <c r="G637" s="1037"/>
      <c r="H637" s="1018"/>
      <c r="I637" s="1037"/>
      <c r="J637" s="1037"/>
      <c r="K637" s="1037"/>
      <c r="L637" s="1037"/>
      <c r="M637" s="1037"/>
      <c r="N637" s="1037"/>
      <c r="O637" s="1037"/>
      <c r="P637" s="1037"/>
      <c r="Q637" s="1037"/>
      <c r="R637" s="1037"/>
      <c r="S637" s="1037"/>
      <c r="T637" s="1037"/>
      <c r="U637" s="1037"/>
      <c r="V637" s="1037"/>
      <c r="W637" s="1037"/>
      <c r="X637" s="1037"/>
      <c r="Y637" s="1037"/>
      <c r="Z637" s="1037"/>
      <c r="AA637" s="1037"/>
      <c r="AB637" s="1037"/>
      <c r="AC637" s="1037"/>
      <c r="AD637" s="1037"/>
      <c r="AE637" s="1037"/>
      <c r="AF637" s="1037"/>
      <c r="AG637" s="1037"/>
      <c r="AH637" s="1037"/>
      <c r="AI637" s="1037"/>
      <c r="AJ637" s="1037"/>
      <c r="AK637" s="1037"/>
      <c r="AL637" s="1037"/>
      <c r="AM637" s="1037"/>
      <c r="AN637" s="1037"/>
      <c r="AO637" s="1037"/>
      <c r="AP637" s="1037"/>
    </row>
    <row r="638" spans="1:42" s="226" customFormat="1">
      <c r="A638" s="2060"/>
      <c r="B638" s="1037"/>
      <c r="C638" s="1037"/>
      <c r="D638" s="1037"/>
      <c r="E638" s="1037"/>
      <c r="F638" s="1037"/>
      <c r="G638" s="1037"/>
      <c r="H638" s="1018"/>
      <c r="I638" s="1037"/>
      <c r="J638" s="1037"/>
      <c r="K638" s="1037"/>
      <c r="L638" s="1037"/>
      <c r="M638" s="1037"/>
      <c r="N638" s="1037"/>
      <c r="O638" s="1037"/>
      <c r="P638" s="1037"/>
      <c r="Q638" s="1037"/>
      <c r="R638" s="1037"/>
      <c r="S638" s="1037"/>
      <c r="T638" s="1037"/>
      <c r="U638" s="1037"/>
      <c r="V638" s="1037"/>
      <c r="W638" s="1037"/>
      <c r="X638" s="1037"/>
      <c r="Y638" s="1037"/>
      <c r="Z638" s="1037"/>
      <c r="AA638" s="1037"/>
      <c r="AB638" s="1037"/>
      <c r="AC638" s="1037"/>
      <c r="AD638" s="1037"/>
      <c r="AE638" s="1037"/>
      <c r="AF638" s="1037"/>
      <c r="AG638" s="1037"/>
      <c r="AH638" s="1037"/>
      <c r="AI638" s="1037"/>
      <c r="AJ638" s="1037"/>
      <c r="AK638" s="1037"/>
      <c r="AL638" s="1037"/>
      <c r="AM638" s="1037"/>
      <c r="AN638" s="1037"/>
      <c r="AO638" s="1037"/>
      <c r="AP638" s="1037"/>
    </row>
    <row r="639" spans="1:42" s="226" customFormat="1">
      <c r="A639" s="2060"/>
      <c r="B639" s="1037"/>
      <c r="C639" s="1037"/>
      <c r="D639" s="1037"/>
      <c r="E639" s="1037"/>
      <c r="F639" s="1037"/>
      <c r="G639" s="1037"/>
      <c r="H639" s="1018"/>
      <c r="I639" s="1037"/>
      <c r="J639" s="1037"/>
      <c r="K639" s="1037"/>
      <c r="L639" s="1037"/>
      <c r="M639" s="1037"/>
      <c r="N639" s="1037"/>
      <c r="O639" s="1037"/>
      <c r="P639" s="1037"/>
      <c r="Q639" s="1037"/>
      <c r="R639" s="1037"/>
      <c r="S639" s="1037"/>
      <c r="T639" s="1037"/>
      <c r="U639" s="1037"/>
      <c r="V639" s="1037"/>
      <c r="W639" s="1037"/>
      <c r="X639" s="1037"/>
      <c r="Y639" s="1037"/>
      <c r="Z639" s="1037"/>
      <c r="AA639" s="1037"/>
      <c r="AB639" s="1037"/>
      <c r="AC639" s="1037"/>
      <c r="AD639" s="1037"/>
      <c r="AE639" s="1037"/>
      <c r="AF639" s="1037"/>
      <c r="AG639" s="1037"/>
      <c r="AH639" s="1037"/>
      <c r="AI639" s="1037"/>
      <c r="AJ639" s="1037"/>
      <c r="AK639" s="1037"/>
      <c r="AL639" s="1037"/>
      <c r="AM639" s="1037"/>
      <c r="AN639" s="1037"/>
      <c r="AO639" s="1037"/>
      <c r="AP639" s="1037"/>
    </row>
    <row r="640" spans="1:42" s="226" customFormat="1">
      <c r="A640" s="2060"/>
      <c r="B640" s="1037"/>
      <c r="C640" s="1037"/>
      <c r="D640" s="1037"/>
      <c r="E640" s="1037"/>
      <c r="F640" s="1037"/>
      <c r="G640" s="1037"/>
      <c r="H640" s="1018"/>
      <c r="I640" s="1037"/>
      <c r="J640" s="1037"/>
      <c r="K640" s="1037"/>
      <c r="L640" s="1037"/>
      <c r="M640" s="1037"/>
      <c r="N640" s="1037"/>
      <c r="O640" s="1037"/>
      <c r="P640" s="1037"/>
      <c r="Q640" s="1037"/>
      <c r="R640" s="1037"/>
      <c r="S640" s="1037"/>
      <c r="T640" s="1037"/>
      <c r="U640" s="1037"/>
      <c r="V640" s="1037"/>
      <c r="W640" s="1037"/>
      <c r="X640" s="1037"/>
      <c r="Y640" s="1037"/>
      <c r="Z640" s="1037"/>
      <c r="AA640" s="1037"/>
      <c r="AB640" s="1037"/>
      <c r="AC640" s="1037"/>
      <c r="AD640" s="1037"/>
      <c r="AE640" s="1037"/>
      <c r="AF640" s="1037"/>
      <c r="AG640" s="1037"/>
      <c r="AH640" s="1037"/>
      <c r="AI640" s="1037"/>
      <c r="AJ640" s="1037"/>
      <c r="AK640" s="1037"/>
      <c r="AL640" s="1037"/>
      <c r="AM640" s="1037"/>
      <c r="AN640" s="1037"/>
      <c r="AO640" s="1037"/>
      <c r="AP640" s="1037"/>
    </row>
    <row r="641" spans="1:42" s="226" customFormat="1">
      <c r="A641" s="2060"/>
      <c r="B641" s="1037"/>
      <c r="C641" s="1037"/>
      <c r="D641" s="1037"/>
      <c r="E641" s="1037"/>
      <c r="F641" s="1037"/>
      <c r="G641" s="1037"/>
      <c r="H641" s="1018"/>
      <c r="I641" s="1037"/>
      <c r="J641" s="1037"/>
      <c r="K641" s="1037"/>
      <c r="L641" s="1037"/>
      <c r="M641" s="1037"/>
      <c r="N641" s="1037"/>
      <c r="O641" s="1037"/>
      <c r="P641" s="1037"/>
      <c r="Q641" s="1037"/>
      <c r="R641" s="1037"/>
      <c r="S641" s="1037"/>
      <c r="T641" s="1037"/>
      <c r="U641" s="1037"/>
      <c r="V641" s="1037"/>
      <c r="W641" s="1037"/>
      <c r="X641" s="1037"/>
      <c r="Y641" s="1037"/>
      <c r="Z641" s="1037"/>
      <c r="AA641" s="1037"/>
      <c r="AB641" s="1037"/>
      <c r="AC641" s="1037"/>
      <c r="AD641" s="1037"/>
      <c r="AE641" s="1037"/>
      <c r="AF641" s="1037"/>
      <c r="AG641" s="1037"/>
      <c r="AH641" s="1037"/>
      <c r="AI641" s="1037"/>
      <c r="AJ641" s="1037"/>
      <c r="AK641" s="1037"/>
      <c r="AL641" s="1037"/>
      <c r="AM641" s="1037"/>
      <c r="AN641" s="1037"/>
      <c r="AO641" s="1037"/>
      <c r="AP641" s="1037"/>
    </row>
    <row r="642" spans="1:42" s="226" customFormat="1">
      <c r="A642" s="2060"/>
      <c r="B642" s="1037"/>
      <c r="C642" s="1037"/>
      <c r="D642" s="1037"/>
      <c r="E642" s="1037"/>
      <c r="F642" s="1037"/>
      <c r="G642" s="1037"/>
      <c r="H642" s="1018"/>
      <c r="I642" s="1037"/>
      <c r="J642" s="1037"/>
      <c r="K642" s="1037"/>
      <c r="L642" s="1037"/>
      <c r="M642" s="1037"/>
      <c r="N642" s="1037"/>
      <c r="O642" s="1037"/>
      <c r="P642" s="1037"/>
      <c r="Q642" s="1037"/>
      <c r="R642" s="1037"/>
      <c r="S642" s="1037"/>
      <c r="T642" s="1037"/>
      <c r="U642" s="1037"/>
      <c r="V642" s="1037"/>
      <c r="W642" s="1037"/>
      <c r="X642" s="1037"/>
      <c r="Y642" s="1037"/>
      <c r="Z642" s="1037"/>
      <c r="AA642" s="1037"/>
      <c r="AB642" s="1037"/>
      <c r="AC642" s="1037"/>
      <c r="AD642" s="1037"/>
      <c r="AE642" s="1037"/>
      <c r="AF642" s="1037"/>
      <c r="AG642" s="1037"/>
      <c r="AH642" s="1037"/>
      <c r="AI642" s="1037"/>
      <c r="AJ642" s="1037"/>
      <c r="AK642" s="1037"/>
      <c r="AL642" s="1037"/>
      <c r="AM642" s="1037"/>
      <c r="AN642" s="1037"/>
      <c r="AO642" s="1037"/>
      <c r="AP642" s="1037"/>
    </row>
    <row r="643" spans="1:42" s="226" customFormat="1">
      <c r="A643" s="2060"/>
      <c r="B643" s="1037"/>
      <c r="C643" s="1037"/>
      <c r="D643" s="1037"/>
      <c r="E643" s="1037"/>
      <c r="F643" s="1037"/>
      <c r="G643" s="1037"/>
      <c r="H643" s="1018"/>
      <c r="I643" s="1037"/>
      <c r="J643" s="1037"/>
      <c r="K643" s="1037"/>
      <c r="L643" s="1037"/>
      <c r="M643" s="1037"/>
      <c r="N643" s="1037"/>
      <c r="O643" s="1037"/>
      <c r="P643" s="1037"/>
      <c r="Q643" s="1037"/>
      <c r="R643" s="1037"/>
      <c r="S643" s="1037"/>
      <c r="T643" s="1037"/>
      <c r="U643" s="1037"/>
      <c r="V643" s="1037"/>
      <c r="W643" s="1037"/>
      <c r="X643" s="1037"/>
      <c r="Y643" s="1037"/>
      <c r="Z643" s="1037"/>
      <c r="AA643" s="1037"/>
      <c r="AB643" s="1037"/>
      <c r="AC643" s="1037"/>
      <c r="AD643" s="1037"/>
      <c r="AE643" s="1037"/>
      <c r="AF643" s="1037"/>
      <c r="AG643" s="1037"/>
      <c r="AH643" s="1037"/>
      <c r="AI643" s="1037"/>
      <c r="AJ643" s="1037"/>
      <c r="AK643" s="1037"/>
      <c r="AL643" s="1037"/>
      <c r="AM643" s="1037"/>
      <c r="AN643" s="1037"/>
      <c r="AO643" s="1037"/>
      <c r="AP643" s="1037"/>
    </row>
    <row r="644" spans="1:42" s="226" customFormat="1">
      <c r="A644" s="2060"/>
      <c r="B644" s="1037"/>
      <c r="C644" s="1037"/>
      <c r="D644" s="1037"/>
      <c r="E644" s="1037"/>
      <c r="F644" s="1037"/>
      <c r="G644" s="1037"/>
      <c r="H644" s="1018"/>
      <c r="I644" s="1037"/>
      <c r="J644" s="1037"/>
      <c r="K644" s="1037"/>
      <c r="L644" s="1037"/>
      <c r="M644" s="1037"/>
      <c r="N644" s="1037"/>
      <c r="O644" s="1037"/>
      <c r="P644" s="1037"/>
      <c r="Q644" s="1037"/>
      <c r="R644" s="1037"/>
      <c r="S644" s="1037"/>
      <c r="T644" s="1037"/>
      <c r="U644" s="1037"/>
      <c r="V644" s="1037"/>
      <c r="W644" s="1037"/>
      <c r="X644" s="1037"/>
      <c r="Y644" s="1037"/>
      <c r="Z644" s="1037"/>
      <c r="AA644" s="1037"/>
      <c r="AB644" s="1037"/>
      <c r="AC644" s="1037"/>
      <c r="AD644" s="1037"/>
      <c r="AE644" s="1037"/>
      <c r="AF644" s="1037"/>
      <c r="AG644" s="1037"/>
      <c r="AH644" s="1037"/>
      <c r="AI644" s="1037"/>
      <c r="AJ644" s="1037"/>
      <c r="AK644" s="1037"/>
      <c r="AL644" s="1037"/>
      <c r="AM644" s="1037"/>
      <c r="AN644" s="1037"/>
      <c r="AO644" s="1037"/>
      <c r="AP644" s="1037"/>
    </row>
    <row r="645" spans="1:42" s="226" customFormat="1">
      <c r="A645" s="2060"/>
      <c r="B645" s="1037"/>
      <c r="C645" s="1037"/>
      <c r="D645" s="1037"/>
      <c r="E645" s="1037"/>
      <c r="F645" s="1037"/>
      <c r="G645" s="1037"/>
      <c r="H645" s="1018"/>
      <c r="I645" s="1037"/>
      <c r="J645" s="1037"/>
      <c r="K645" s="1037"/>
      <c r="L645" s="1037"/>
      <c r="M645" s="1037"/>
      <c r="N645" s="1037"/>
      <c r="O645" s="1037"/>
      <c r="P645" s="1037"/>
      <c r="Q645" s="1037"/>
      <c r="R645" s="1037"/>
      <c r="S645" s="1037"/>
      <c r="T645" s="1037"/>
      <c r="U645" s="1037"/>
      <c r="V645" s="1037"/>
      <c r="W645" s="1037"/>
      <c r="X645" s="1037"/>
      <c r="Y645" s="1037"/>
      <c r="Z645" s="1037"/>
      <c r="AA645" s="1037"/>
      <c r="AB645" s="1037"/>
      <c r="AC645" s="1037"/>
      <c r="AD645" s="1037"/>
      <c r="AE645" s="1037"/>
      <c r="AF645" s="1037"/>
      <c r="AG645" s="1037"/>
      <c r="AH645" s="1037"/>
      <c r="AI645" s="1037"/>
      <c r="AJ645" s="1037"/>
      <c r="AK645" s="1037"/>
      <c r="AL645" s="1037"/>
      <c r="AM645" s="1037"/>
      <c r="AN645" s="1037"/>
      <c r="AO645" s="1037"/>
      <c r="AP645" s="1037"/>
    </row>
    <row r="646" spans="1:42" s="226" customFormat="1">
      <c r="A646" s="2060"/>
      <c r="B646" s="1037"/>
      <c r="C646" s="1037"/>
      <c r="D646" s="1037"/>
      <c r="E646" s="1037"/>
      <c r="F646" s="1037"/>
      <c r="G646" s="1037"/>
      <c r="H646" s="1018"/>
      <c r="I646" s="1037"/>
      <c r="J646" s="1037"/>
      <c r="K646" s="1037"/>
      <c r="L646" s="1037"/>
      <c r="M646" s="1037"/>
      <c r="N646" s="1037"/>
      <c r="O646" s="1037"/>
      <c r="P646" s="1037"/>
      <c r="Q646" s="1037"/>
      <c r="R646" s="1037"/>
      <c r="S646" s="1037"/>
      <c r="T646" s="1037"/>
      <c r="U646" s="1037"/>
      <c r="V646" s="1037"/>
      <c r="W646" s="1037"/>
      <c r="X646" s="1037"/>
      <c r="Y646" s="1037"/>
      <c r="Z646" s="1037"/>
      <c r="AA646" s="1037"/>
      <c r="AB646" s="1037"/>
      <c r="AC646" s="1037"/>
      <c r="AD646" s="1037"/>
      <c r="AE646" s="1037"/>
      <c r="AF646" s="1037"/>
      <c r="AG646" s="1037"/>
      <c r="AH646" s="1037"/>
      <c r="AI646" s="1037"/>
      <c r="AJ646" s="1037"/>
      <c r="AK646" s="1037"/>
      <c r="AL646" s="1037"/>
      <c r="AM646" s="1037"/>
      <c r="AN646" s="1037"/>
      <c r="AO646" s="1037"/>
      <c r="AP646" s="1037"/>
    </row>
    <row r="647" spans="1:42" s="226" customFormat="1">
      <c r="A647" s="2060"/>
      <c r="B647" s="1037"/>
      <c r="C647" s="1037"/>
      <c r="D647" s="1037"/>
      <c r="E647" s="1037"/>
      <c r="F647" s="1037"/>
      <c r="G647" s="1037"/>
      <c r="H647" s="1018"/>
      <c r="I647" s="1037"/>
      <c r="J647" s="1037"/>
      <c r="K647" s="1037"/>
      <c r="L647" s="1037"/>
      <c r="M647" s="1037"/>
      <c r="N647" s="1037"/>
      <c r="O647" s="1037"/>
      <c r="P647" s="1037"/>
      <c r="Q647" s="1037"/>
      <c r="R647" s="1037"/>
      <c r="S647" s="1037"/>
      <c r="T647" s="1037"/>
      <c r="U647" s="1037"/>
      <c r="V647" s="1037"/>
      <c r="W647" s="1037"/>
      <c r="X647" s="1037"/>
      <c r="Y647" s="1037"/>
      <c r="Z647" s="1037"/>
      <c r="AA647" s="1037"/>
      <c r="AB647" s="1037"/>
      <c r="AC647" s="1037"/>
      <c r="AD647" s="1037"/>
      <c r="AE647" s="1037"/>
      <c r="AF647" s="1037"/>
      <c r="AG647" s="1037"/>
      <c r="AH647" s="1037"/>
      <c r="AI647" s="1037"/>
      <c r="AJ647" s="1037"/>
      <c r="AK647" s="1037"/>
      <c r="AL647" s="1037"/>
      <c r="AM647" s="1037"/>
      <c r="AN647" s="1037"/>
      <c r="AO647" s="1037"/>
      <c r="AP647" s="1037"/>
    </row>
    <row r="648" spans="1:42" s="226" customFormat="1">
      <c r="A648" s="2060"/>
      <c r="B648" s="1037"/>
      <c r="C648" s="1037"/>
      <c r="D648" s="1037"/>
      <c r="E648" s="1037"/>
      <c r="F648" s="1037"/>
      <c r="G648" s="1037"/>
      <c r="H648" s="1018"/>
      <c r="I648" s="1037"/>
      <c r="J648" s="1037"/>
      <c r="K648" s="1037"/>
      <c r="L648" s="1037"/>
      <c r="M648" s="1037"/>
      <c r="N648" s="1037"/>
      <c r="O648" s="1037"/>
      <c r="P648" s="1037"/>
      <c r="Q648" s="1037"/>
      <c r="R648" s="1037"/>
      <c r="S648" s="1037"/>
      <c r="T648" s="1037"/>
      <c r="U648" s="1037"/>
      <c r="V648" s="1037"/>
      <c r="W648" s="1037"/>
      <c r="X648" s="1037"/>
      <c r="Y648" s="1037"/>
      <c r="Z648" s="1037"/>
      <c r="AA648" s="1037"/>
      <c r="AB648" s="1037"/>
      <c r="AC648" s="1037"/>
      <c r="AD648" s="1037"/>
      <c r="AE648" s="1037"/>
      <c r="AF648" s="1037"/>
      <c r="AG648" s="1037"/>
      <c r="AH648" s="1037"/>
      <c r="AI648" s="1037"/>
      <c r="AJ648" s="1037"/>
      <c r="AK648" s="1037"/>
      <c r="AL648" s="1037"/>
      <c r="AM648" s="1037"/>
      <c r="AN648" s="1037"/>
      <c r="AO648" s="1037"/>
      <c r="AP648" s="1037"/>
    </row>
    <row r="649" spans="1:42" s="226" customFormat="1">
      <c r="A649" s="2060"/>
      <c r="B649" s="1037"/>
      <c r="C649" s="1037"/>
      <c r="D649" s="1037"/>
      <c r="E649" s="1037"/>
      <c r="F649" s="1037"/>
      <c r="G649" s="1037"/>
      <c r="H649" s="1018"/>
      <c r="I649" s="1037"/>
      <c r="J649" s="1037"/>
      <c r="K649" s="1037"/>
      <c r="L649" s="1037"/>
      <c r="M649" s="1037"/>
      <c r="N649" s="1037"/>
      <c r="O649" s="1037"/>
      <c r="P649" s="1037"/>
      <c r="Q649" s="1037"/>
      <c r="R649" s="1037"/>
      <c r="S649" s="1037"/>
      <c r="T649" s="1037"/>
      <c r="U649" s="1037"/>
      <c r="V649" s="1037"/>
      <c r="W649" s="1037"/>
      <c r="X649" s="1037"/>
      <c r="Y649" s="1037"/>
      <c r="Z649" s="1037"/>
      <c r="AA649" s="1037"/>
      <c r="AB649" s="1037"/>
      <c r="AC649" s="1037"/>
      <c r="AD649" s="1037"/>
      <c r="AE649" s="1037"/>
      <c r="AF649" s="1037"/>
      <c r="AG649" s="1037"/>
      <c r="AH649" s="1037"/>
      <c r="AI649" s="1037"/>
      <c r="AJ649" s="1037"/>
      <c r="AK649" s="1037"/>
      <c r="AL649" s="1037"/>
      <c r="AM649" s="1037"/>
      <c r="AN649" s="1037"/>
      <c r="AO649" s="1037"/>
      <c r="AP649" s="1037"/>
    </row>
    <row r="650" spans="1:42" s="226" customFormat="1">
      <c r="A650" s="2060"/>
      <c r="B650" s="1037"/>
      <c r="C650" s="1037"/>
      <c r="D650" s="1037"/>
      <c r="E650" s="1037"/>
      <c r="F650" s="1037"/>
      <c r="G650" s="1037"/>
      <c r="H650" s="1018"/>
      <c r="I650" s="1037"/>
      <c r="J650" s="1037"/>
      <c r="K650" s="1037"/>
      <c r="L650" s="1037"/>
      <c r="M650" s="1037"/>
      <c r="N650" s="1037"/>
      <c r="O650" s="1037"/>
      <c r="P650" s="1037"/>
      <c r="Q650" s="1037"/>
      <c r="R650" s="1037"/>
      <c r="S650" s="1037"/>
      <c r="T650" s="1037"/>
      <c r="U650" s="1037"/>
      <c r="V650" s="1037"/>
      <c r="W650" s="1037"/>
      <c r="X650" s="1037"/>
      <c r="Y650" s="1037"/>
      <c r="Z650" s="1037"/>
      <c r="AA650" s="1037"/>
      <c r="AB650" s="1037"/>
      <c r="AC650" s="1037"/>
      <c r="AD650" s="1037"/>
      <c r="AE650" s="1037"/>
      <c r="AF650" s="1037"/>
      <c r="AG650" s="1037"/>
      <c r="AH650" s="1037"/>
      <c r="AI650" s="1037"/>
      <c r="AJ650" s="1037"/>
      <c r="AK650" s="1037"/>
      <c r="AL650" s="1037"/>
      <c r="AM650" s="1037"/>
      <c r="AN650" s="1037"/>
      <c r="AO650" s="1037"/>
      <c r="AP650" s="1037"/>
    </row>
    <row r="651" spans="1:42" s="226" customFormat="1">
      <c r="A651" s="2060"/>
      <c r="B651" s="1037"/>
      <c r="C651" s="1037"/>
      <c r="D651" s="1037"/>
      <c r="E651" s="1037"/>
      <c r="F651" s="1037"/>
      <c r="G651" s="1037"/>
      <c r="H651" s="1018"/>
      <c r="I651" s="1037"/>
      <c r="J651" s="1037"/>
      <c r="K651" s="1037"/>
      <c r="L651" s="1037"/>
      <c r="M651" s="1037"/>
      <c r="N651" s="1037"/>
      <c r="O651" s="1037"/>
      <c r="P651" s="1037"/>
      <c r="Q651" s="1037"/>
      <c r="R651" s="1037"/>
      <c r="S651" s="1037"/>
      <c r="T651" s="1037"/>
      <c r="U651" s="1037"/>
      <c r="V651" s="1037"/>
      <c r="W651" s="1037"/>
      <c r="X651" s="1037"/>
      <c r="Y651" s="1037"/>
      <c r="Z651" s="1037"/>
      <c r="AA651" s="1037"/>
      <c r="AB651" s="1037"/>
      <c r="AC651" s="1037"/>
      <c r="AD651" s="1037"/>
      <c r="AE651" s="1037"/>
      <c r="AF651" s="1037"/>
      <c r="AG651" s="1037"/>
      <c r="AH651" s="1037"/>
      <c r="AI651" s="1037"/>
      <c r="AJ651" s="1037"/>
      <c r="AK651" s="1037"/>
      <c r="AL651" s="1037"/>
      <c r="AM651" s="1037"/>
      <c r="AN651" s="1037"/>
      <c r="AO651" s="1037"/>
      <c r="AP651" s="1037"/>
    </row>
    <row r="652" spans="1:42" s="226" customFormat="1">
      <c r="A652" s="2060"/>
      <c r="B652" s="1037"/>
      <c r="C652" s="1037"/>
      <c r="D652" s="1037"/>
      <c r="E652" s="1037"/>
      <c r="F652" s="1037"/>
      <c r="G652" s="1037"/>
      <c r="H652" s="1018"/>
      <c r="I652" s="1037"/>
      <c r="J652" s="1037"/>
      <c r="K652" s="1037"/>
      <c r="L652" s="1037"/>
      <c r="M652" s="1037"/>
      <c r="N652" s="1037"/>
      <c r="O652" s="1037"/>
      <c r="P652" s="1037"/>
      <c r="Q652" s="1037"/>
      <c r="R652" s="1037"/>
      <c r="S652" s="1037"/>
      <c r="T652" s="1037"/>
      <c r="U652" s="1037"/>
      <c r="V652" s="1037"/>
      <c r="W652" s="1037"/>
      <c r="X652" s="1037"/>
      <c r="Y652" s="1037"/>
      <c r="Z652" s="1037"/>
      <c r="AA652" s="1037"/>
      <c r="AB652" s="1037"/>
      <c r="AC652" s="1037"/>
      <c r="AD652" s="1037"/>
      <c r="AE652" s="1037"/>
      <c r="AF652" s="1037"/>
      <c r="AG652" s="1037"/>
      <c r="AH652" s="1037"/>
      <c r="AI652" s="1037"/>
      <c r="AJ652" s="1037"/>
      <c r="AK652" s="1037"/>
      <c r="AL652" s="1037"/>
      <c r="AM652" s="1037"/>
      <c r="AN652" s="1037"/>
      <c r="AO652" s="1037"/>
      <c r="AP652" s="1037"/>
    </row>
    <row r="653" spans="1:42" s="226" customFormat="1">
      <c r="A653" s="2060"/>
      <c r="B653" s="1037"/>
      <c r="C653" s="1037"/>
      <c r="D653" s="1037"/>
      <c r="E653" s="1037"/>
      <c r="F653" s="1037"/>
      <c r="G653" s="1037"/>
      <c r="H653" s="1018"/>
      <c r="I653" s="1037"/>
      <c r="J653" s="1037"/>
      <c r="K653" s="1037"/>
      <c r="L653" s="1037"/>
      <c r="M653" s="1037"/>
      <c r="N653" s="1037"/>
      <c r="O653" s="1037"/>
      <c r="P653" s="1037"/>
      <c r="Q653" s="1037"/>
      <c r="R653" s="1037"/>
      <c r="S653" s="1037"/>
      <c r="T653" s="1037"/>
      <c r="U653" s="1037"/>
      <c r="V653" s="1037"/>
      <c r="W653" s="1037"/>
      <c r="X653" s="1037"/>
      <c r="Y653" s="1037"/>
      <c r="Z653" s="1037"/>
      <c r="AA653" s="1037"/>
      <c r="AB653" s="1037"/>
      <c r="AC653" s="1037"/>
      <c r="AD653" s="1037"/>
      <c r="AE653" s="1037"/>
      <c r="AF653" s="1037"/>
      <c r="AG653" s="1037"/>
      <c r="AH653" s="1037"/>
      <c r="AI653" s="1037"/>
      <c r="AJ653" s="1037"/>
      <c r="AK653" s="1037"/>
      <c r="AL653" s="1037"/>
      <c r="AM653" s="1037"/>
      <c r="AN653" s="1037"/>
      <c r="AO653" s="1037"/>
      <c r="AP653" s="1037"/>
    </row>
    <row r="654" spans="1:42" s="226" customFormat="1">
      <c r="A654" s="2060"/>
      <c r="B654" s="1037"/>
      <c r="C654" s="1037"/>
      <c r="D654" s="1037"/>
      <c r="E654" s="1037"/>
      <c r="F654" s="1037"/>
      <c r="G654" s="1037"/>
      <c r="H654" s="1018"/>
      <c r="I654" s="1037"/>
      <c r="J654" s="1037"/>
      <c r="K654" s="1037"/>
      <c r="L654" s="1037"/>
      <c r="M654" s="1037"/>
      <c r="N654" s="1037"/>
      <c r="O654" s="1037"/>
      <c r="P654" s="1037"/>
      <c r="Q654" s="1037"/>
      <c r="R654" s="1037"/>
      <c r="S654" s="1037"/>
      <c r="T654" s="1037"/>
      <c r="U654" s="1037"/>
      <c r="V654" s="1037"/>
      <c r="W654" s="1037"/>
      <c r="X654" s="1037"/>
      <c r="Y654" s="1037"/>
      <c r="Z654" s="1037"/>
      <c r="AA654" s="1037"/>
      <c r="AB654" s="1037"/>
      <c r="AC654" s="1037"/>
      <c r="AD654" s="1037"/>
      <c r="AE654" s="1037"/>
      <c r="AF654" s="1037"/>
      <c r="AG654" s="1037"/>
      <c r="AH654" s="1037"/>
      <c r="AI654" s="1037"/>
      <c r="AJ654" s="1037"/>
      <c r="AK654" s="1037"/>
      <c r="AL654" s="1037"/>
      <c r="AM654" s="1037"/>
      <c r="AN654" s="1037"/>
      <c r="AO654" s="1037"/>
      <c r="AP654" s="1037"/>
    </row>
    <row r="655" spans="1:42" s="226" customFormat="1">
      <c r="A655" s="2060"/>
      <c r="B655" s="1037"/>
      <c r="C655" s="1037"/>
      <c r="D655" s="1037"/>
      <c r="E655" s="1037"/>
      <c r="F655" s="1037"/>
      <c r="G655" s="1037"/>
      <c r="H655" s="1018"/>
      <c r="I655" s="1037"/>
      <c r="J655" s="1037"/>
      <c r="K655" s="1037"/>
      <c r="L655" s="1037"/>
      <c r="M655" s="1037"/>
      <c r="N655" s="1037"/>
      <c r="O655" s="1037"/>
      <c r="P655" s="1037"/>
      <c r="Q655" s="1037"/>
      <c r="R655" s="1037"/>
      <c r="S655" s="1037"/>
      <c r="T655" s="1037"/>
      <c r="U655" s="1037"/>
      <c r="V655" s="1037"/>
      <c r="W655" s="1037"/>
      <c r="X655" s="1037"/>
      <c r="Y655" s="1037"/>
      <c r="Z655" s="1037"/>
      <c r="AA655" s="1037"/>
      <c r="AB655" s="1037"/>
      <c r="AC655" s="1037"/>
      <c r="AD655" s="1037"/>
      <c r="AE655" s="1037"/>
      <c r="AF655" s="1037"/>
      <c r="AG655" s="1037"/>
      <c r="AH655" s="1037"/>
      <c r="AI655" s="1037"/>
      <c r="AJ655" s="1037"/>
      <c r="AK655" s="1037"/>
      <c r="AL655" s="1037"/>
      <c r="AM655" s="1037"/>
      <c r="AN655" s="1037"/>
      <c r="AO655" s="1037"/>
      <c r="AP655" s="1037"/>
    </row>
    <row r="656" spans="1:42" s="226" customFormat="1">
      <c r="A656" s="2060"/>
      <c r="B656" s="1037"/>
      <c r="C656" s="1037"/>
      <c r="D656" s="1037"/>
      <c r="E656" s="1037"/>
      <c r="F656" s="1037"/>
      <c r="G656" s="1037"/>
      <c r="H656" s="1018"/>
      <c r="I656" s="1037"/>
      <c r="J656" s="1037"/>
      <c r="K656" s="1037"/>
      <c r="L656" s="1037"/>
      <c r="M656" s="1037"/>
      <c r="N656" s="1037"/>
      <c r="O656" s="1037"/>
      <c r="P656" s="1037"/>
      <c r="Q656" s="1037"/>
      <c r="R656" s="1037"/>
      <c r="S656" s="1037"/>
      <c r="T656" s="1037"/>
      <c r="U656" s="1037"/>
      <c r="V656" s="1037"/>
      <c r="W656" s="1037"/>
      <c r="X656" s="1037"/>
      <c r="Y656" s="1037"/>
      <c r="Z656" s="1037"/>
      <c r="AA656" s="1037"/>
      <c r="AB656" s="1037"/>
      <c r="AC656" s="1037"/>
      <c r="AD656" s="1037"/>
      <c r="AE656" s="1037"/>
      <c r="AF656" s="1037"/>
      <c r="AG656" s="1037"/>
      <c r="AH656" s="1037"/>
      <c r="AI656" s="1037"/>
      <c r="AJ656" s="1037"/>
      <c r="AK656" s="1037"/>
      <c r="AL656" s="1037"/>
      <c r="AM656" s="1037"/>
      <c r="AN656" s="1037"/>
      <c r="AO656" s="1037"/>
      <c r="AP656" s="1037"/>
    </row>
    <row r="657" spans="1:42" s="226" customFormat="1">
      <c r="A657" s="2060"/>
      <c r="B657" s="1037"/>
      <c r="C657" s="1037"/>
      <c r="D657" s="1037"/>
      <c r="E657" s="1037"/>
      <c r="F657" s="1037"/>
      <c r="G657" s="1037"/>
      <c r="H657" s="1018"/>
      <c r="I657" s="1037"/>
      <c r="J657" s="1037"/>
      <c r="K657" s="1037"/>
      <c r="L657" s="1037"/>
      <c r="M657" s="1037"/>
      <c r="N657" s="1037"/>
      <c r="O657" s="1037"/>
      <c r="P657" s="1037"/>
      <c r="Q657" s="1037"/>
      <c r="R657" s="1037"/>
      <c r="S657" s="1037"/>
      <c r="T657" s="1037"/>
      <c r="U657" s="1037"/>
      <c r="V657" s="1037"/>
      <c r="W657" s="1037"/>
      <c r="X657" s="1037"/>
      <c r="Y657" s="1037"/>
      <c r="Z657" s="1037"/>
      <c r="AA657" s="1037"/>
      <c r="AB657" s="1037"/>
      <c r="AC657" s="1037"/>
      <c r="AD657" s="1037"/>
      <c r="AE657" s="1037"/>
      <c r="AF657" s="1037"/>
      <c r="AG657" s="1037"/>
      <c r="AH657" s="1037"/>
      <c r="AI657" s="1037"/>
      <c r="AJ657" s="1037"/>
      <c r="AK657" s="1037"/>
      <c r="AL657" s="1037"/>
      <c r="AM657" s="1037"/>
      <c r="AN657" s="1037"/>
      <c r="AO657" s="1037"/>
      <c r="AP657" s="1037"/>
    </row>
    <row r="658" spans="1:42" s="226" customFormat="1">
      <c r="A658" s="2060"/>
      <c r="B658" s="1037"/>
      <c r="C658" s="1037"/>
      <c r="D658" s="1037"/>
      <c r="E658" s="1037"/>
      <c r="F658" s="1037"/>
      <c r="G658" s="1037"/>
      <c r="H658" s="1018"/>
      <c r="I658" s="1037"/>
      <c r="J658" s="1037"/>
      <c r="K658" s="1037"/>
      <c r="L658" s="1037"/>
      <c r="M658" s="1037"/>
      <c r="N658" s="1037"/>
      <c r="O658" s="1037"/>
      <c r="P658" s="1037"/>
      <c r="Q658" s="1037"/>
      <c r="R658" s="1037"/>
      <c r="S658" s="1037"/>
      <c r="T658" s="1037"/>
      <c r="U658" s="1037"/>
      <c r="V658" s="1037"/>
      <c r="W658" s="1037"/>
      <c r="X658" s="1037"/>
      <c r="Y658" s="1037"/>
      <c r="Z658" s="1037"/>
      <c r="AA658" s="1037"/>
      <c r="AB658" s="1037"/>
      <c r="AC658" s="1037"/>
      <c r="AD658" s="1037"/>
      <c r="AE658" s="1037"/>
      <c r="AF658" s="1037"/>
      <c r="AG658" s="1037"/>
      <c r="AH658" s="1037"/>
      <c r="AI658" s="1037"/>
      <c r="AJ658" s="1037"/>
      <c r="AK658" s="1037"/>
      <c r="AL658" s="1037"/>
      <c r="AM658" s="1037"/>
      <c r="AN658" s="1037"/>
      <c r="AO658" s="1037"/>
      <c r="AP658" s="1037"/>
    </row>
    <row r="659" spans="1:42" s="226" customFormat="1">
      <c r="A659" s="2060"/>
      <c r="B659" s="1037"/>
      <c r="C659" s="1037"/>
      <c r="D659" s="1037"/>
      <c r="E659" s="1037"/>
      <c r="F659" s="1037"/>
      <c r="G659" s="1037"/>
      <c r="H659" s="1018"/>
      <c r="I659" s="1037"/>
      <c r="J659" s="1037"/>
      <c r="K659" s="1037"/>
      <c r="L659" s="1037"/>
      <c r="M659" s="1037"/>
      <c r="N659" s="1037"/>
      <c r="O659" s="1037"/>
      <c r="P659" s="1037"/>
      <c r="Q659" s="1037"/>
      <c r="R659" s="1037"/>
      <c r="S659" s="1037"/>
      <c r="T659" s="1037"/>
      <c r="U659" s="1037"/>
      <c r="V659" s="1037"/>
      <c r="W659" s="1037"/>
      <c r="X659" s="1037"/>
      <c r="Y659" s="1037"/>
      <c r="Z659" s="1037"/>
      <c r="AA659" s="1037"/>
      <c r="AB659" s="1037"/>
      <c r="AC659" s="1037"/>
      <c r="AD659" s="1037"/>
      <c r="AE659" s="1037"/>
      <c r="AF659" s="1037"/>
      <c r="AG659" s="1037"/>
      <c r="AH659" s="1037"/>
      <c r="AI659" s="1037"/>
      <c r="AJ659" s="1037"/>
      <c r="AK659" s="1037"/>
      <c r="AL659" s="1037"/>
      <c r="AM659" s="1037"/>
      <c r="AN659" s="1037"/>
      <c r="AO659" s="1037"/>
      <c r="AP659" s="1037"/>
    </row>
    <row r="660" spans="1:42" s="226" customFormat="1">
      <c r="A660" s="2060"/>
      <c r="B660" s="1037"/>
      <c r="C660" s="1037"/>
      <c r="D660" s="1037"/>
      <c r="E660" s="1037"/>
      <c r="F660" s="1037"/>
      <c r="G660" s="1037"/>
      <c r="H660" s="1018"/>
      <c r="I660" s="1037"/>
      <c r="J660" s="1037"/>
      <c r="K660" s="1037"/>
      <c r="L660" s="1037"/>
      <c r="M660" s="1037"/>
      <c r="N660" s="1037"/>
      <c r="O660" s="1037"/>
      <c r="P660" s="1037"/>
      <c r="Q660" s="1037"/>
      <c r="R660" s="1037"/>
      <c r="S660" s="1037"/>
      <c r="T660" s="1037"/>
      <c r="U660" s="1037"/>
      <c r="V660" s="1037"/>
      <c r="W660" s="1037"/>
      <c r="X660" s="1037"/>
      <c r="Y660" s="1037"/>
      <c r="Z660" s="1037"/>
      <c r="AA660" s="1037"/>
      <c r="AB660" s="1037"/>
      <c r="AC660" s="1037"/>
      <c r="AD660" s="1037"/>
      <c r="AE660" s="1037"/>
      <c r="AF660" s="1037"/>
      <c r="AG660" s="1037"/>
      <c r="AH660" s="1037"/>
      <c r="AI660" s="1037"/>
      <c r="AJ660" s="1037"/>
      <c r="AK660" s="1037"/>
      <c r="AL660" s="1037"/>
      <c r="AM660" s="1037"/>
      <c r="AN660" s="1037"/>
      <c r="AO660" s="1037"/>
      <c r="AP660" s="1037"/>
    </row>
    <row r="661" spans="1:42" s="226" customFormat="1">
      <c r="A661" s="2060"/>
      <c r="B661" s="1037"/>
      <c r="C661" s="1037"/>
      <c r="D661" s="1037"/>
      <c r="E661" s="1037"/>
      <c r="F661" s="1037"/>
      <c r="G661" s="1037"/>
      <c r="H661" s="1018"/>
      <c r="I661" s="1037"/>
      <c r="J661" s="1037"/>
      <c r="K661" s="1037"/>
      <c r="L661" s="1037"/>
      <c r="M661" s="1037"/>
      <c r="N661" s="1037"/>
      <c r="O661" s="1037"/>
      <c r="P661" s="1037"/>
      <c r="Q661" s="1037"/>
      <c r="R661" s="1037"/>
      <c r="S661" s="1037"/>
      <c r="T661" s="1037"/>
      <c r="U661" s="1037"/>
      <c r="V661" s="1037"/>
      <c r="W661" s="1037"/>
      <c r="X661" s="1037"/>
      <c r="Y661" s="1037"/>
      <c r="Z661" s="1037"/>
      <c r="AA661" s="1037"/>
      <c r="AB661" s="1037"/>
      <c r="AC661" s="1037"/>
      <c r="AD661" s="1037"/>
      <c r="AE661" s="1037"/>
      <c r="AF661" s="1037"/>
      <c r="AG661" s="1037"/>
      <c r="AH661" s="1037"/>
      <c r="AI661" s="1037"/>
      <c r="AJ661" s="1037"/>
      <c r="AK661" s="1037"/>
      <c r="AL661" s="1037"/>
      <c r="AM661" s="1037"/>
      <c r="AN661" s="1037"/>
      <c r="AO661" s="1037"/>
      <c r="AP661" s="1037"/>
    </row>
    <row r="662" spans="1:42" s="226" customFormat="1">
      <c r="A662" s="2060"/>
      <c r="B662" s="1037"/>
      <c r="C662" s="1037"/>
      <c r="D662" s="1037"/>
      <c r="E662" s="1037"/>
      <c r="F662" s="1037"/>
      <c r="G662" s="1037"/>
      <c r="H662" s="1018"/>
      <c r="I662" s="1037"/>
      <c r="J662" s="1037"/>
      <c r="K662" s="1037"/>
      <c r="L662" s="1037"/>
      <c r="M662" s="1037"/>
      <c r="N662" s="1037"/>
      <c r="O662" s="1037"/>
      <c r="P662" s="1037"/>
      <c r="Q662" s="1037"/>
      <c r="R662" s="1037"/>
      <c r="S662" s="1037"/>
      <c r="T662" s="1037"/>
      <c r="U662" s="1037"/>
      <c r="V662" s="1037"/>
      <c r="W662" s="1037"/>
      <c r="X662" s="1037"/>
      <c r="Y662" s="1037"/>
      <c r="Z662" s="1037"/>
      <c r="AA662" s="1037"/>
      <c r="AB662" s="1037"/>
      <c r="AC662" s="1037"/>
      <c r="AD662" s="1037"/>
      <c r="AE662" s="1037"/>
      <c r="AF662" s="1037"/>
      <c r="AG662" s="1037"/>
      <c r="AH662" s="1037"/>
      <c r="AI662" s="1037"/>
      <c r="AJ662" s="1037"/>
      <c r="AK662" s="1037"/>
      <c r="AL662" s="1037"/>
      <c r="AM662" s="1037"/>
      <c r="AN662" s="1037"/>
      <c r="AO662" s="1037"/>
      <c r="AP662" s="1037"/>
    </row>
    <row r="663" spans="1:42" s="226" customFormat="1">
      <c r="A663" s="2060"/>
      <c r="B663" s="1037"/>
      <c r="C663" s="1037"/>
      <c r="D663" s="1037"/>
      <c r="E663" s="1037"/>
      <c r="F663" s="1037"/>
      <c r="G663" s="1037"/>
      <c r="H663" s="1018"/>
      <c r="I663" s="1037"/>
      <c r="J663" s="1037"/>
      <c r="K663" s="1037"/>
      <c r="L663" s="1037"/>
      <c r="M663" s="1037"/>
      <c r="N663" s="1037"/>
      <c r="O663" s="1037"/>
      <c r="P663" s="1037"/>
      <c r="Q663" s="1037"/>
      <c r="R663" s="1037"/>
      <c r="S663" s="1037"/>
      <c r="T663" s="1037"/>
      <c r="U663" s="1037"/>
      <c r="V663" s="1037"/>
      <c r="W663" s="1037"/>
      <c r="X663" s="1037"/>
      <c r="Y663" s="1037"/>
      <c r="Z663" s="1037"/>
      <c r="AA663" s="1037"/>
      <c r="AB663" s="1037"/>
      <c r="AC663" s="1037"/>
      <c r="AD663" s="1037"/>
      <c r="AE663" s="1037"/>
      <c r="AF663" s="1037"/>
      <c r="AG663" s="1037"/>
      <c r="AH663" s="1037"/>
      <c r="AI663" s="1037"/>
      <c r="AJ663" s="1037"/>
      <c r="AK663" s="1037"/>
      <c r="AL663" s="1037"/>
      <c r="AM663" s="1037"/>
      <c r="AN663" s="1037"/>
      <c r="AO663" s="1037"/>
      <c r="AP663" s="1037"/>
    </row>
    <row r="664" spans="1:42" s="226" customFormat="1">
      <c r="A664" s="2060"/>
      <c r="B664" s="1037"/>
      <c r="C664" s="1037"/>
      <c r="D664" s="1037"/>
      <c r="E664" s="1037"/>
      <c r="F664" s="1037"/>
      <c r="G664" s="1037"/>
      <c r="H664" s="1018"/>
      <c r="I664" s="1037"/>
      <c r="J664" s="1037"/>
      <c r="K664" s="1037"/>
      <c r="L664" s="1037"/>
      <c r="M664" s="1037"/>
      <c r="N664" s="1037"/>
      <c r="O664" s="1037"/>
      <c r="P664" s="1037"/>
      <c r="Q664" s="1037"/>
      <c r="R664" s="1037"/>
      <c r="S664" s="1037"/>
      <c r="T664" s="1037"/>
      <c r="U664" s="1037"/>
      <c r="V664" s="1037"/>
      <c r="W664" s="1037"/>
      <c r="X664" s="1037"/>
      <c r="Y664" s="1037"/>
      <c r="Z664" s="1037"/>
      <c r="AA664" s="1037"/>
      <c r="AB664" s="1037"/>
      <c r="AC664" s="1037"/>
      <c r="AD664" s="1037"/>
      <c r="AE664" s="1037"/>
      <c r="AF664" s="1037"/>
      <c r="AG664" s="1037"/>
      <c r="AH664" s="1037"/>
      <c r="AI664" s="1037"/>
      <c r="AJ664" s="1037"/>
      <c r="AK664" s="1037"/>
      <c r="AL664" s="1037"/>
      <c r="AM664" s="1037"/>
      <c r="AN664" s="1037"/>
      <c r="AO664" s="1037"/>
      <c r="AP664" s="1037"/>
    </row>
    <row r="665" spans="1:42" s="226" customFormat="1">
      <c r="A665" s="2060"/>
      <c r="B665" s="1037"/>
      <c r="C665" s="1037"/>
      <c r="D665" s="1037"/>
      <c r="E665" s="1037"/>
      <c r="F665" s="1037"/>
      <c r="G665" s="1037"/>
      <c r="H665" s="1018"/>
      <c r="I665" s="1037"/>
      <c r="J665" s="1037"/>
      <c r="K665" s="1037"/>
      <c r="L665" s="1037"/>
      <c r="M665" s="1037"/>
      <c r="N665" s="1037"/>
      <c r="O665" s="1037"/>
      <c r="P665" s="1037"/>
      <c r="Q665" s="1037"/>
      <c r="R665" s="1037"/>
      <c r="S665" s="1037"/>
      <c r="T665" s="1037"/>
      <c r="U665" s="1037"/>
      <c r="V665" s="1037"/>
      <c r="W665" s="1037"/>
      <c r="X665" s="1037"/>
      <c r="Y665" s="1037"/>
      <c r="Z665" s="1037"/>
      <c r="AA665" s="1037"/>
      <c r="AB665" s="1037"/>
      <c r="AC665" s="1037"/>
      <c r="AD665" s="1037"/>
      <c r="AE665" s="1037"/>
      <c r="AF665" s="1037"/>
      <c r="AG665" s="1037"/>
      <c r="AH665" s="1037"/>
      <c r="AI665" s="1037"/>
      <c r="AJ665" s="1037"/>
      <c r="AK665" s="1037"/>
      <c r="AL665" s="1037"/>
      <c r="AM665" s="1037"/>
      <c r="AN665" s="1037"/>
      <c r="AO665" s="1037"/>
      <c r="AP665" s="1037"/>
    </row>
    <row r="666" spans="1:42" s="226" customFormat="1">
      <c r="A666" s="2060"/>
      <c r="B666" s="1037"/>
      <c r="C666" s="1037"/>
      <c r="D666" s="1037"/>
      <c r="E666" s="1037"/>
      <c r="F666" s="1037"/>
      <c r="G666" s="1037"/>
      <c r="H666" s="1018"/>
      <c r="I666" s="1037"/>
      <c r="J666" s="1037"/>
      <c r="K666" s="1037"/>
      <c r="L666" s="1037"/>
      <c r="M666" s="1037"/>
      <c r="N666" s="1037"/>
      <c r="O666" s="1037"/>
      <c r="P666" s="1037"/>
      <c r="Q666" s="1037"/>
      <c r="R666" s="1037"/>
      <c r="S666" s="1037"/>
      <c r="T666" s="1037"/>
      <c r="U666" s="1037"/>
      <c r="V666" s="1037"/>
      <c r="W666" s="1037"/>
      <c r="X666" s="1037"/>
      <c r="Y666" s="1037"/>
      <c r="Z666" s="1037"/>
      <c r="AA666" s="1037"/>
      <c r="AB666" s="1037"/>
      <c r="AC666" s="1037"/>
      <c r="AD666" s="1037"/>
      <c r="AE666" s="1037"/>
      <c r="AF666" s="1037"/>
      <c r="AG666" s="1037"/>
      <c r="AH666" s="1037"/>
      <c r="AI666" s="1037"/>
      <c r="AJ666" s="1037"/>
      <c r="AK666" s="1037"/>
      <c r="AL666" s="1037"/>
      <c r="AM666" s="1037"/>
      <c r="AN666" s="1037"/>
      <c r="AO666" s="1037"/>
      <c r="AP666" s="1037"/>
    </row>
    <row r="667" spans="1:42" s="226" customFormat="1">
      <c r="A667" s="2060"/>
      <c r="B667" s="1037"/>
      <c r="C667" s="1037"/>
      <c r="D667" s="1037"/>
      <c r="E667" s="1037"/>
      <c r="F667" s="1037"/>
      <c r="G667" s="1037"/>
      <c r="H667" s="1018"/>
      <c r="I667" s="1037"/>
      <c r="J667" s="1037"/>
      <c r="K667" s="1037"/>
      <c r="L667" s="1037"/>
      <c r="M667" s="1037"/>
      <c r="N667" s="1037"/>
      <c r="O667" s="1037"/>
      <c r="P667" s="1037"/>
      <c r="Q667" s="1037"/>
      <c r="R667" s="1037"/>
      <c r="S667" s="1037"/>
      <c r="T667" s="1037"/>
      <c r="U667" s="1037"/>
      <c r="V667" s="1037"/>
      <c r="W667" s="1037"/>
      <c r="X667" s="1037"/>
      <c r="Y667" s="1037"/>
      <c r="Z667" s="1037"/>
      <c r="AA667" s="1037"/>
      <c r="AB667" s="1037"/>
      <c r="AC667" s="1037"/>
      <c r="AD667" s="1037"/>
      <c r="AE667" s="1037"/>
      <c r="AF667" s="1037"/>
      <c r="AG667" s="1037"/>
      <c r="AH667" s="1037"/>
      <c r="AI667" s="1037"/>
      <c r="AJ667" s="1037"/>
      <c r="AK667" s="1037"/>
      <c r="AL667" s="1037"/>
      <c r="AM667" s="1037"/>
      <c r="AN667" s="1037"/>
      <c r="AO667" s="1037"/>
      <c r="AP667" s="1037"/>
    </row>
    <row r="668" spans="1:42" s="226" customFormat="1">
      <c r="A668" s="2060"/>
      <c r="B668" s="1037"/>
      <c r="C668" s="1037"/>
      <c r="D668" s="1037"/>
      <c r="E668" s="1037"/>
      <c r="F668" s="1037"/>
      <c r="G668" s="1037"/>
      <c r="H668" s="1018"/>
      <c r="I668" s="1037"/>
      <c r="J668" s="1037"/>
      <c r="K668" s="1037"/>
      <c r="L668" s="1037"/>
      <c r="M668" s="1037"/>
      <c r="N668" s="1037"/>
      <c r="O668" s="1037"/>
      <c r="P668" s="1037"/>
      <c r="Q668" s="1037"/>
      <c r="R668" s="1037"/>
      <c r="S668" s="1037"/>
      <c r="T668" s="1037"/>
      <c r="U668" s="1037"/>
      <c r="V668" s="1037"/>
      <c r="W668" s="1037"/>
      <c r="X668" s="1037"/>
      <c r="Y668" s="1037"/>
      <c r="Z668" s="1037"/>
      <c r="AA668" s="1037"/>
      <c r="AB668" s="1037"/>
      <c r="AC668" s="1037"/>
      <c r="AD668" s="1037"/>
      <c r="AE668" s="1037"/>
      <c r="AF668" s="1037"/>
      <c r="AG668" s="1037"/>
      <c r="AH668" s="1037"/>
      <c r="AI668" s="1037"/>
      <c r="AJ668" s="1037"/>
      <c r="AK668" s="1037"/>
      <c r="AL668" s="1037"/>
      <c r="AM668" s="1037"/>
      <c r="AN668" s="1037"/>
      <c r="AO668" s="1037"/>
      <c r="AP668" s="1037"/>
    </row>
    <row r="669" spans="1:42" s="226" customFormat="1">
      <c r="A669" s="2060"/>
      <c r="B669" s="1037"/>
      <c r="C669" s="1037"/>
      <c r="D669" s="1037"/>
      <c r="E669" s="1037"/>
      <c r="F669" s="1037"/>
      <c r="G669" s="1037"/>
      <c r="H669" s="1018"/>
      <c r="I669" s="1037"/>
      <c r="J669" s="1037"/>
      <c r="K669" s="1037"/>
      <c r="L669" s="1037"/>
      <c r="M669" s="1037"/>
      <c r="N669" s="1037"/>
      <c r="O669" s="1037"/>
      <c r="P669" s="1037"/>
      <c r="Q669" s="1037"/>
      <c r="R669" s="1037"/>
      <c r="S669" s="1037"/>
      <c r="T669" s="1037"/>
      <c r="U669" s="1037"/>
      <c r="V669" s="1037"/>
      <c r="W669" s="1037"/>
      <c r="X669" s="1037"/>
      <c r="Y669" s="1037"/>
      <c r="Z669" s="1037"/>
      <c r="AA669" s="1037"/>
      <c r="AB669" s="1037"/>
      <c r="AC669" s="1037"/>
      <c r="AD669" s="1037"/>
      <c r="AE669" s="1037"/>
      <c r="AF669" s="1037"/>
      <c r="AG669" s="1037"/>
      <c r="AH669" s="1037"/>
      <c r="AI669" s="1037"/>
      <c r="AJ669" s="1037"/>
      <c r="AK669" s="1037"/>
      <c r="AL669" s="1037"/>
      <c r="AM669" s="1037"/>
      <c r="AN669" s="1037"/>
      <c r="AO669" s="1037"/>
      <c r="AP669" s="1037"/>
    </row>
    <row r="670" spans="1:42" s="226" customFormat="1">
      <c r="A670" s="2060"/>
      <c r="B670" s="1037"/>
      <c r="C670" s="1037"/>
      <c r="D670" s="1037"/>
      <c r="E670" s="1037"/>
      <c r="F670" s="1037"/>
      <c r="G670" s="1037"/>
      <c r="H670" s="1018"/>
      <c r="I670" s="1037"/>
      <c r="J670" s="1037"/>
      <c r="K670" s="1037"/>
      <c r="L670" s="1037"/>
      <c r="M670" s="1037"/>
      <c r="N670" s="1037"/>
      <c r="O670" s="1037"/>
      <c r="P670" s="1037"/>
      <c r="Q670" s="1037"/>
      <c r="R670" s="1037"/>
      <c r="S670" s="1037"/>
      <c r="T670" s="1037"/>
      <c r="U670" s="1037"/>
      <c r="V670" s="1037"/>
      <c r="W670" s="1037"/>
      <c r="X670" s="1037"/>
      <c r="Y670" s="1037"/>
      <c r="Z670" s="1037"/>
      <c r="AA670" s="1037"/>
      <c r="AB670" s="1037"/>
      <c r="AC670" s="1037"/>
      <c r="AD670" s="1037"/>
      <c r="AE670" s="1037"/>
      <c r="AF670" s="1037"/>
      <c r="AG670" s="1037"/>
      <c r="AH670" s="1037"/>
      <c r="AI670" s="1037"/>
      <c r="AJ670" s="1037"/>
      <c r="AK670" s="1037"/>
      <c r="AL670" s="1037"/>
      <c r="AM670" s="1037"/>
      <c r="AN670" s="1037"/>
      <c r="AO670" s="1037"/>
      <c r="AP670" s="1037"/>
    </row>
    <row r="671" spans="1:42" s="226" customFormat="1">
      <c r="A671" s="2060"/>
      <c r="B671" s="1037"/>
      <c r="C671" s="1037"/>
      <c r="D671" s="1037"/>
      <c r="E671" s="1037"/>
      <c r="F671" s="1037"/>
      <c r="G671" s="1037"/>
      <c r="H671" s="1018"/>
      <c r="I671" s="1037"/>
      <c r="J671" s="1037"/>
      <c r="K671" s="1037"/>
      <c r="L671" s="1037"/>
      <c r="M671" s="1037"/>
      <c r="N671" s="1037"/>
      <c r="O671" s="1037"/>
      <c r="P671" s="1037"/>
      <c r="Q671" s="1037"/>
      <c r="R671" s="1037"/>
      <c r="S671" s="1037"/>
      <c r="T671" s="1037"/>
      <c r="U671" s="1037"/>
      <c r="V671" s="1037"/>
      <c r="W671" s="1037"/>
      <c r="X671" s="1037"/>
      <c r="Y671" s="1037"/>
      <c r="Z671" s="1037"/>
      <c r="AA671" s="1037"/>
      <c r="AB671" s="1037"/>
      <c r="AC671" s="1037"/>
      <c r="AD671" s="1037"/>
      <c r="AE671" s="1037"/>
      <c r="AF671" s="1037"/>
      <c r="AG671" s="1037"/>
      <c r="AH671" s="1037"/>
      <c r="AI671" s="1037"/>
      <c r="AJ671" s="1037"/>
      <c r="AK671" s="1037"/>
      <c r="AL671" s="1037"/>
      <c r="AM671" s="1037"/>
      <c r="AN671" s="1037"/>
      <c r="AO671" s="1037"/>
      <c r="AP671" s="1037"/>
    </row>
    <row r="672" spans="1:42" s="226" customFormat="1">
      <c r="A672" s="2060"/>
      <c r="B672" s="1037"/>
      <c r="C672" s="1037"/>
      <c r="D672" s="1037"/>
      <c r="E672" s="1037"/>
      <c r="F672" s="1037"/>
      <c r="G672" s="1037"/>
      <c r="H672" s="1018"/>
      <c r="I672" s="1037"/>
      <c r="J672" s="1037"/>
      <c r="K672" s="1037"/>
      <c r="L672" s="1037"/>
      <c r="M672" s="1037"/>
      <c r="N672" s="1037"/>
      <c r="O672" s="1037"/>
      <c r="P672" s="1037"/>
      <c r="Q672" s="1037"/>
      <c r="R672" s="1037"/>
      <c r="S672" s="1037"/>
      <c r="T672" s="1037"/>
      <c r="U672" s="1037"/>
      <c r="V672" s="1037"/>
      <c r="W672" s="1037"/>
      <c r="X672" s="1037"/>
      <c r="Y672" s="1037"/>
      <c r="Z672" s="1037"/>
      <c r="AA672" s="1037"/>
      <c r="AB672" s="1037"/>
      <c r="AC672" s="1037"/>
      <c r="AD672" s="1037"/>
      <c r="AE672" s="1037"/>
      <c r="AF672" s="1037"/>
      <c r="AG672" s="1037"/>
      <c r="AH672" s="1037"/>
      <c r="AI672" s="1037"/>
      <c r="AJ672" s="1037"/>
      <c r="AK672" s="1037"/>
      <c r="AL672" s="1037"/>
      <c r="AM672" s="1037"/>
      <c r="AN672" s="1037"/>
      <c r="AO672" s="1037"/>
      <c r="AP672" s="1037"/>
    </row>
    <row r="673" spans="1:42" s="226" customFormat="1">
      <c r="A673" s="2060"/>
      <c r="B673" s="1037"/>
      <c r="C673" s="1037"/>
      <c r="D673" s="1037"/>
      <c r="E673" s="1037"/>
      <c r="F673" s="1037"/>
      <c r="G673" s="1037"/>
      <c r="H673" s="1018"/>
      <c r="I673" s="1037"/>
      <c r="J673" s="1037"/>
      <c r="K673" s="1037"/>
      <c r="L673" s="1037"/>
      <c r="M673" s="1037"/>
      <c r="N673" s="1037"/>
      <c r="O673" s="1037"/>
      <c r="P673" s="1037"/>
      <c r="Q673" s="1037"/>
      <c r="R673" s="1037"/>
      <c r="S673" s="1037"/>
      <c r="T673" s="1037"/>
      <c r="U673" s="1037"/>
      <c r="V673" s="1037"/>
      <c r="W673" s="1037"/>
      <c r="X673" s="1037"/>
      <c r="Y673" s="1037"/>
      <c r="Z673" s="1037"/>
      <c r="AA673" s="1037"/>
      <c r="AB673" s="1037"/>
      <c r="AC673" s="1037"/>
      <c r="AD673" s="1037"/>
      <c r="AE673" s="1037"/>
      <c r="AF673" s="1037"/>
      <c r="AG673" s="1037"/>
      <c r="AH673" s="1037"/>
      <c r="AI673" s="1037"/>
      <c r="AJ673" s="1037"/>
      <c r="AK673" s="1037"/>
      <c r="AL673" s="1037"/>
      <c r="AM673" s="1037"/>
      <c r="AN673" s="1037"/>
      <c r="AO673" s="1037"/>
      <c r="AP673" s="1037"/>
    </row>
    <row r="674" spans="1:42" s="226" customFormat="1">
      <c r="A674" s="2060"/>
      <c r="B674" s="1037"/>
      <c r="C674" s="1037"/>
      <c r="D674" s="1037"/>
      <c r="E674" s="1037"/>
      <c r="F674" s="1037"/>
      <c r="G674" s="1037"/>
      <c r="H674" s="1018"/>
      <c r="I674" s="1037"/>
      <c r="J674" s="1037"/>
      <c r="K674" s="1037"/>
      <c r="L674" s="1037"/>
      <c r="M674" s="1037"/>
      <c r="N674" s="1037"/>
      <c r="O674" s="1037"/>
      <c r="P674" s="1037"/>
      <c r="Q674" s="1037"/>
      <c r="R674" s="1037"/>
      <c r="S674" s="1037"/>
      <c r="T674" s="1037"/>
      <c r="U674" s="1037"/>
      <c r="V674" s="1037"/>
      <c r="W674" s="1037"/>
      <c r="X674" s="1037"/>
      <c r="Y674" s="1037"/>
      <c r="Z674" s="1037"/>
      <c r="AA674" s="1037"/>
      <c r="AB674" s="1037"/>
      <c r="AC674" s="1037"/>
      <c r="AD674" s="1037"/>
      <c r="AE674" s="1037"/>
      <c r="AF674" s="1037"/>
      <c r="AG674" s="1037"/>
      <c r="AH674" s="1037"/>
      <c r="AI674" s="1037"/>
      <c r="AJ674" s="1037"/>
      <c r="AK674" s="1037"/>
      <c r="AL674" s="1037"/>
      <c r="AM674" s="1037"/>
      <c r="AN674" s="1037"/>
      <c r="AO674" s="1037"/>
      <c r="AP674" s="1037"/>
    </row>
    <row r="675" spans="1:42" s="226" customFormat="1">
      <c r="A675" s="2060"/>
      <c r="B675" s="1037"/>
      <c r="C675" s="1037"/>
      <c r="D675" s="1037"/>
      <c r="E675" s="1037"/>
      <c r="F675" s="1037"/>
      <c r="G675" s="1037"/>
      <c r="H675" s="1018"/>
      <c r="I675" s="1037"/>
      <c r="J675" s="1037"/>
      <c r="K675" s="1037"/>
      <c r="L675" s="1037"/>
      <c r="M675" s="1037"/>
      <c r="N675" s="1037"/>
      <c r="O675" s="1037"/>
      <c r="P675" s="1037"/>
      <c r="Q675" s="1037"/>
      <c r="R675" s="1037"/>
      <c r="S675" s="1037"/>
      <c r="T675" s="1037"/>
      <c r="U675" s="1037"/>
      <c r="V675" s="1037"/>
      <c r="W675" s="1037"/>
      <c r="X675" s="1037"/>
      <c r="Y675" s="1037"/>
      <c r="Z675" s="1037"/>
      <c r="AA675" s="1037"/>
      <c r="AB675" s="1037"/>
      <c r="AC675" s="1037"/>
      <c r="AD675" s="1037"/>
      <c r="AE675" s="1037"/>
      <c r="AF675" s="1037"/>
      <c r="AG675" s="1037"/>
      <c r="AH675" s="1037"/>
      <c r="AI675" s="1037"/>
      <c r="AJ675" s="1037"/>
      <c r="AK675" s="1037"/>
      <c r="AL675" s="1037"/>
      <c r="AM675" s="1037"/>
      <c r="AN675" s="1037"/>
      <c r="AO675" s="1037"/>
      <c r="AP675" s="1037"/>
    </row>
    <row r="676" spans="1:42" s="226" customFormat="1">
      <c r="A676" s="2060"/>
      <c r="B676" s="1037"/>
      <c r="C676" s="1037"/>
      <c r="D676" s="1037"/>
      <c r="E676" s="1037"/>
      <c r="F676" s="1037"/>
      <c r="G676" s="1037"/>
      <c r="H676" s="1018"/>
      <c r="I676" s="1037"/>
      <c r="J676" s="1037"/>
      <c r="K676" s="1037"/>
      <c r="L676" s="1037"/>
      <c r="M676" s="1037"/>
      <c r="N676" s="1037"/>
      <c r="O676" s="1037"/>
      <c r="P676" s="1037"/>
      <c r="Q676" s="1037"/>
      <c r="R676" s="1037"/>
      <c r="S676" s="1037"/>
      <c r="T676" s="1037"/>
      <c r="U676" s="1037"/>
      <c r="V676" s="1037"/>
      <c r="W676" s="1037"/>
      <c r="X676" s="1037"/>
      <c r="Y676" s="1037"/>
      <c r="Z676" s="1037"/>
      <c r="AA676" s="1037"/>
      <c r="AB676" s="1037"/>
      <c r="AC676" s="1037"/>
      <c r="AD676" s="1037"/>
      <c r="AE676" s="1037"/>
      <c r="AF676" s="1037"/>
      <c r="AG676" s="1037"/>
      <c r="AH676" s="1037"/>
      <c r="AI676" s="1037"/>
      <c r="AJ676" s="1037"/>
      <c r="AK676" s="1037"/>
      <c r="AL676" s="1037"/>
      <c r="AM676" s="1037"/>
      <c r="AN676" s="1037"/>
      <c r="AO676" s="1037"/>
      <c r="AP676" s="1037"/>
    </row>
    <row r="677" spans="1:42" s="226" customFormat="1">
      <c r="A677" s="2060"/>
      <c r="B677" s="1037"/>
      <c r="C677" s="1037"/>
      <c r="D677" s="1037"/>
      <c r="E677" s="1037"/>
      <c r="F677" s="1037"/>
      <c r="G677" s="1037"/>
      <c r="H677" s="1018"/>
      <c r="I677" s="1037"/>
      <c r="J677" s="1037"/>
      <c r="K677" s="1037"/>
      <c r="L677" s="1037"/>
      <c r="M677" s="1037"/>
      <c r="N677" s="1037"/>
      <c r="O677" s="1037"/>
      <c r="P677" s="1037"/>
      <c r="Q677" s="1037"/>
      <c r="R677" s="1037"/>
      <c r="S677" s="1037"/>
      <c r="T677" s="1037"/>
      <c r="U677" s="1037"/>
      <c r="V677" s="1037"/>
      <c r="W677" s="1037"/>
      <c r="X677" s="1037"/>
      <c r="Y677" s="1037"/>
      <c r="Z677" s="1037"/>
      <c r="AA677" s="1037"/>
      <c r="AB677" s="1037"/>
      <c r="AC677" s="1037"/>
      <c r="AD677" s="1037"/>
      <c r="AE677" s="1037"/>
      <c r="AF677" s="1037"/>
      <c r="AG677" s="1037"/>
      <c r="AH677" s="1037"/>
      <c r="AI677" s="1037"/>
      <c r="AJ677" s="1037"/>
      <c r="AK677" s="1037"/>
      <c r="AL677" s="1037"/>
      <c r="AM677" s="1037"/>
      <c r="AN677" s="1037"/>
      <c r="AO677" s="1037"/>
      <c r="AP677" s="1037"/>
    </row>
    <row r="678" spans="1:42" s="226" customFormat="1">
      <c r="A678" s="2060"/>
      <c r="B678" s="1037"/>
      <c r="C678" s="1037"/>
      <c r="D678" s="1037"/>
      <c r="E678" s="1037"/>
      <c r="F678" s="1037"/>
      <c r="G678" s="1037"/>
      <c r="H678" s="1018"/>
      <c r="I678" s="1037"/>
      <c r="J678" s="1037"/>
      <c r="K678" s="1037"/>
      <c r="L678" s="1037"/>
      <c r="M678" s="1037"/>
      <c r="N678" s="1037"/>
      <c r="O678" s="1037"/>
      <c r="P678" s="1037"/>
      <c r="Q678" s="1037"/>
      <c r="R678" s="1037"/>
      <c r="S678" s="1037"/>
      <c r="T678" s="1037"/>
      <c r="U678" s="1037"/>
      <c r="V678" s="1037"/>
      <c r="W678" s="1037"/>
      <c r="X678" s="1037"/>
      <c r="Y678" s="1037"/>
      <c r="Z678" s="1037"/>
      <c r="AA678" s="1037"/>
      <c r="AB678" s="1037"/>
      <c r="AC678" s="1037"/>
      <c r="AD678" s="1037"/>
      <c r="AE678" s="1037"/>
      <c r="AF678" s="1037"/>
      <c r="AG678" s="1037"/>
      <c r="AH678" s="1037"/>
      <c r="AI678" s="1037"/>
      <c r="AJ678" s="1037"/>
      <c r="AK678" s="1037"/>
      <c r="AL678" s="1037"/>
      <c r="AM678" s="1037"/>
      <c r="AN678" s="1037"/>
      <c r="AO678" s="1037"/>
      <c r="AP678" s="1037"/>
    </row>
    <row r="679" spans="1:42" s="226" customFormat="1">
      <c r="A679" s="2060"/>
      <c r="B679" s="1037"/>
      <c r="C679" s="1037"/>
      <c r="D679" s="1037"/>
      <c r="E679" s="1037"/>
      <c r="F679" s="1037"/>
      <c r="G679" s="1037"/>
      <c r="H679" s="1018"/>
      <c r="I679" s="1037"/>
      <c r="J679" s="1037"/>
      <c r="K679" s="1037"/>
      <c r="L679" s="1037"/>
      <c r="M679" s="1037"/>
      <c r="N679" s="1037"/>
      <c r="O679" s="1037"/>
      <c r="P679" s="1037"/>
      <c r="Q679" s="1037"/>
      <c r="R679" s="1037"/>
      <c r="S679" s="1037"/>
      <c r="T679" s="1037"/>
      <c r="U679" s="1037"/>
      <c r="V679" s="1037"/>
      <c r="W679" s="1037"/>
      <c r="X679" s="1037"/>
      <c r="Y679" s="1037"/>
      <c r="Z679" s="1037"/>
      <c r="AA679" s="1037"/>
      <c r="AB679" s="1037"/>
      <c r="AC679" s="1037"/>
      <c r="AD679" s="1037"/>
      <c r="AE679" s="1037"/>
      <c r="AF679" s="1037"/>
      <c r="AG679" s="1037"/>
      <c r="AH679" s="1037"/>
      <c r="AI679" s="1037"/>
      <c r="AJ679" s="1037"/>
      <c r="AK679" s="1037"/>
      <c r="AL679" s="1037"/>
      <c r="AM679" s="1037"/>
      <c r="AN679" s="1037"/>
      <c r="AO679" s="1037"/>
      <c r="AP679" s="1037"/>
    </row>
    <row r="680" spans="1:42" s="226" customFormat="1">
      <c r="A680" s="2060"/>
      <c r="B680" s="1037"/>
      <c r="C680" s="1037"/>
      <c r="D680" s="1037"/>
      <c r="E680" s="1037"/>
      <c r="F680" s="1037"/>
      <c r="G680" s="1037"/>
      <c r="H680" s="1018"/>
      <c r="I680" s="1037"/>
      <c r="J680" s="1037"/>
      <c r="K680" s="1037"/>
      <c r="L680" s="1037"/>
      <c r="M680" s="1037"/>
      <c r="N680" s="1037"/>
      <c r="O680" s="1037"/>
      <c r="P680" s="1037"/>
      <c r="Q680" s="1037"/>
      <c r="R680" s="1037"/>
      <c r="S680" s="1037"/>
      <c r="T680" s="1037"/>
      <c r="U680" s="1037"/>
      <c r="V680" s="1037"/>
      <c r="W680" s="1037"/>
      <c r="X680" s="1037"/>
      <c r="Y680" s="1037"/>
      <c r="Z680" s="1037"/>
      <c r="AA680" s="1037"/>
      <c r="AB680" s="1037"/>
      <c r="AC680" s="1037"/>
      <c r="AD680" s="1037"/>
      <c r="AE680" s="1037"/>
      <c r="AF680" s="1037"/>
      <c r="AG680" s="1037"/>
      <c r="AH680" s="1037"/>
      <c r="AI680" s="1037"/>
      <c r="AJ680" s="1037"/>
      <c r="AK680" s="1037"/>
      <c r="AL680" s="1037"/>
      <c r="AM680" s="1037"/>
      <c r="AN680" s="1037"/>
      <c r="AO680" s="1037"/>
      <c r="AP680" s="1037"/>
    </row>
    <row r="681" spans="1:42" s="226" customFormat="1">
      <c r="A681" s="2060"/>
      <c r="B681" s="1037"/>
      <c r="C681" s="1037"/>
      <c r="D681" s="1037"/>
      <c r="E681" s="1037"/>
      <c r="F681" s="1037"/>
      <c r="G681" s="1037"/>
      <c r="H681" s="1018"/>
      <c r="I681" s="1037"/>
      <c r="J681" s="1037"/>
      <c r="K681" s="1037"/>
      <c r="L681" s="1037"/>
      <c r="M681" s="1037"/>
      <c r="N681" s="1037"/>
      <c r="O681" s="1037"/>
      <c r="P681" s="1037"/>
      <c r="Q681" s="1037"/>
      <c r="R681" s="1037"/>
      <c r="S681" s="1037"/>
      <c r="T681" s="1037"/>
      <c r="U681" s="1037"/>
      <c r="V681" s="1037"/>
      <c r="W681" s="1037"/>
      <c r="X681" s="1037"/>
      <c r="Y681" s="1037"/>
      <c r="Z681" s="1037"/>
      <c r="AA681" s="1037"/>
      <c r="AB681" s="1037"/>
      <c r="AC681" s="1037"/>
      <c r="AD681" s="1037"/>
      <c r="AE681" s="1037"/>
      <c r="AF681" s="1037"/>
      <c r="AG681" s="1037"/>
      <c r="AH681" s="1037"/>
      <c r="AI681" s="1037"/>
      <c r="AJ681" s="1037"/>
      <c r="AK681" s="1037"/>
      <c r="AL681" s="1037"/>
      <c r="AM681" s="1037"/>
      <c r="AN681" s="1037"/>
      <c r="AO681" s="1037"/>
      <c r="AP681" s="1037"/>
    </row>
    <row r="682" spans="1:42" s="226" customFormat="1">
      <c r="A682" s="2060"/>
      <c r="B682" s="1037"/>
      <c r="C682" s="1037"/>
      <c r="D682" s="1037"/>
      <c r="E682" s="1037"/>
      <c r="F682" s="1037"/>
      <c r="G682" s="1037"/>
      <c r="H682" s="1018"/>
      <c r="I682" s="1037"/>
      <c r="J682" s="1037"/>
      <c r="K682" s="1037"/>
      <c r="L682" s="1037"/>
      <c r="M682" s="1037"/>
      <c r="N682" s="1037"/>
      <c r="O682" s="1037"/>
      <c r="P682" s="1037"/>
      <c r="Q682" s="1037"/>
      <c r="R682" s="1037"/>
      <c r="S682" s="1037"/>
      <c r="T682" s="1037"/>
      <c r="U682" s="1037"/>
      <c r="V682" s="1037"/>
      <c r="W682" s="1037"/>
      <c r="X682" s="1037"/>
      <c r="Y682" s="1037"/>
      <c r="Z682" s="1037"/>
      <c r="AA682" s="1037"/>
      <c r="AB682" s="1037"/>
      <c r="AC682" s="1037"/>
      <c r="AD682" s="1037"/>
      <c r="AE682" s="1037"/>
      <c r="AF682" s="1037"/>
      <c r="AG682" s="1037"/>
      <c r="AH682" s="1037"/>
      <c r="AI682" s="1037"/>
      <c r="AJ682" s="1037"/>
      <c r="AK682" s="1037"/>
      <c r="AL682" s="1037"/>
      <c r="AM682" s="1037"/>
      <c r="AN682" s="1037"/>
      <c r="AO682" s="1037"/>
      <c r="AP682" s="1037"/>
    </row>
    <row r="683" spans="1:42" s="226" customFormat="1">
      <c r="A683" s="2060"/>
      <c r="B683" s="1037"/>
      <c r="C683" s="1037"/>
      <c r="D683" s="1037"/>
      <c r="E683" s="1037"/>
      <c r="F683" s="1037"/>
      <c r="G683" s="1037"/>
      <c r="H683" s="1018"/>
      <c r="I683" s="1037"/>
      <c r="J683" s="1037"/>
      <c r="K683" s="1037"/>
      <c r="L683" s="1037"/>
      <c r="M683" s="1037"/>
      <c r="N683" s="1037"/>
      <c r="O683" s="1037"/>
      <c r="P683" s="1037"/>
      <c r="Q683" s="1037"/>
      <c r="R683" s="1037"/>
      <c r="S683" s="1037"/>
      <c r="T683" s="1037"/>
      <c r="U683" s="1037"/>
      <c r="V683" s="1037"/>
      <c r="W683" s="1037"/>
      <c r="X683" s="1037"/>
      <c r="Y683" s="1037"/>
      <c r="Z683" s="1037"/>
      <c r="AA683" s="1037"/>
      <c r="AB683" s="1037"/>
      <c r="AC683" s="1037"/>
      <c r="AD683" s="1037"/>
      <c r="AE683" s="1037"/>
      <c r="AF683" s="1037"/>
      <c r="AG683" s="1037"/>
      <c r="AH683" s="1037"/>
      <c r="AI683" s="1037"/>
      <c r="AJ683" s="1037"/>
      <c r="AK683" s="1037"/>
      <c r="AL683" s="1037"/>
      <c r="AM683" s="1037"/>
      <c r="AN683" s="1037"/>
      <c r="AO683" s="1037"/>
      <c r="AP683" s="1037"/>
    </row>
    <row r="684" spans="1:42" s="226" customFormat="1">
      <c r="A684" s="2060"/>
      <c r="B684" s="1037"/>
      <c r="C684" s="1037"/>
      <c r="D684" s="1037"/>
      <c r="E684" s="1037"/>
      <c r="F684" s="1037"/>
      <c r="G684" s="1037"/>
      <c r="H684" s="1018"/>
      <c r="I684" s="1037"/>
      <c r="J684" s="1037"/>
      <c r="K684" s="1037"/>
      <c r="L684" s="1037"/>
      <c r="M684" s="1037"/>
      <c r="N684" s="1037"/>
      <c r="O684" s="1037"/>
      <c r="P684" s="1037"/>
      <c r="Q684" s="1037"/>
      <c r="R684" s="1037"/>
      <c r="S684" s="1037"/>
      <c r="T684" s="1037"/>
      <c r="U684" s="1037"/>
      <c r="V684" s="1037"/>
      <c r="W684" s="1037"/>
      <c r="X684" s="1037"/>
      <c r="Y684" s="1037"/>
      <c r="Z684" s="1037"/>
      <c r="AA684" s="1037"/>
      <c r="AB684" s="1037"/>
      <c r="AC684" s="1037"/>
      <c r="AD684" s="1037"/>
      <c r="AE684" s="1037"/>
      <c r="AF684" s="1037"/>
      <c r="AG684" s="1037"/>
      <c r="AH684" s="1037"/>
      <c r="AI684" s="1037"/>
      <c r="AJ684" s="1037"/>
      <c r="AK684" s="1037"/>
      <c r="AL684" s="1037"/>
      <c r="AM684" s="1037"/>
      <c r="AN684" s="1037"/>
      <c r="AO684" s="1037"/>
      <c r="AP684" s="1037"/>
    </row>
    <row r="685" spans="1:42" s="226" customFormat="1">
      <c r="A685" s="2060"/>
      <c r="B685" s="1037"/>
      <c r="C685" s="1037"/>
      <c r="D685" s="1037"/>
      <c r="E685" s="1037"/>
      <c r="F685" s="1037"/>
      <c r="G685" s="1037"/>
      <c r="H685" s="1018"/>
      <c r="I685" s="1037"/>
      <c r="J685" s="1037"/>
      <c r="K685" s="1037"/>
      <c r="L685" s="1037"/>
      <c r="M685" s="1037"/>
      <c r="N685" s="1037"/>
      <c r="O685" s="1037"/>
      <c r="P685" s="1037"/>
      <c r="Q685" s="1037"/>
      <c r="R685" s="1037"/>
      <c r="S685" s="1037"/>
      <c r="T685" s="1037"/>
      <c r="U685" s="1037"/>
      <c r="V685" s="1037"/>
      <c r="W685" s="1037"/>
      <c r="X685" s="1037"/>
      <c r="Y685" s="1037"/>
      <c r="Z685" s="1037"/>
      <c r="AA685" s="1037"/>
      <c r="AB685" s="1037"/>
      <c r="AC685" s="1037"/>
      <c r="AD685" s="1037"/>
      <c r="AE685" s="1037"/>
      <c r="AF685" s="1037"/>
      <c r="AG685" s="1037"/>
      <c r="AH685" s="1037"/>
      <c r="AI685" s="1037"/>
      <c r="AJ685" s="1037"/>
      <c r="AK685" s="1037"/>
      <c r="AL685" s="1037"/>
      <c r="AM685" s="1037"/>
      <c r="AN685" s="1037"/>
      <c r="AO685" s="1037"/>
      <c r="AP685" s="1037"/>
    </row>
    <row r="686" spans="1:42" s="226" customFormat="1">
      <c r="A686" s="2060"/>
      <c r="B686" s="1037"/>
      <c r="C686" s="1037"/>
      <c r="D686" s="1037"/>
      <c r="E686" s="1037"/>
      <c r="F686" s="1037"/>
      <c r="G686" s="1037"/>
      <c r="H686" s="1018"/>
      <c r="I686" s="1037"/>
      <c r="J686" s="1037"/>
      <c r="K686" s="1037"/>
      <c r="L686" s="1037"/>
      <c r="M686" s="1037"/>
      <c r="N686" s="1037"/>
      <c r="O686" s="1037"/>
      <c r="P686" s="1037"/>
      <c r="Q686" s="1037"/>
      <c r="R686" s="1037"/>
      <c r="S686" s="1037"/>
      <c r="T686" s="1037"/>
      <c r="U686" s="1037"/>
      <c r="V686" s="1037"/>
      <c r="W686" s="1037"/>
      <c r="X686" s="1037"/>
      <c r="Y686" s="1037"/>
      <c r="Z686" s="1037"/>
      <c r="AA686" s="1037"/>
      <c r="AB686" s="1037"/>
      <c r="AC686" s="1037"/>
      <c r="AD686" s="1037"/>
      <c r="AE686" s="1037"/>
      <c r="AF686" s="1037"/>
      <c r="AG686" s="1037"/>
      <c r="AH686" s="1037"/>
      <c r="AI686" s="1037"/>
      <c r="AJ686" s="1037"/>
      <c r="AK686" s="1037"/>
      <c r="AL686" s="1037"/>
      <c r="AM686" s="1037"/>
      <c r="AN686" s="1037"/>
      <c r="AO686" s="1037"/>
      <c r="AP686" s="1037"/>
    </row>
    <row r="687" spans="1:42" s="226" customFormat="1">
      <c r="A687" s="2060"/>
      <c r="B687" s="1037"/>
      <c r="C687" s="1037"/>
      <c r="D687" s="1037"/>
      <c r="E687" s="1037"/>
      <c r="F687" s="1037"/>
      <c r="G687" s="1037"/>
      <c r="H687" s="1018"/>
      <c r="I687" s="1037"/>
      <c r="J687" s="1037"/>
      <c r="K687" s="1037"/>
      <c r="L687" s="1037"/>
      <c r="M687" s="1037"/>
      <c r="N687" s="1037"/>
      <c r="O687" s="1037"/>
      <c r="P687" s="1037"/>
      <c r="Q687" s="1037"/>
      <c r="R687" s="1037"/>
      <c r="S687" s="1037"/>
      <c r="T687" s="1037"/>
      <c r="U687" s="1037"/>
      <c r="V687" s="1037"/>
      <c r="W687" s="1037"/>
      <c r="X687" s="1037"/>
      <c r="Y687" s="1037"/>
      <c r="Z687" s="1037"/>
      <c r="AA687" s="1037"/>
      <c r="AB687" s="1037"/>
      <c r="AC687" s="1037"/>
      <c r="AD687" s="1037"/>
      <c r="AE687" s="1037"/>
      <c r="AF687" s="1037"/>
      <c r="AG687" s="1037"/>
      <c r="AH687" s="1037"/>
      <c r="AI687" s="1037"/>
      <c r="AJ687" s="1037"/>
      <c r="AK687" s="1037"/>
      <c r="AL687" s="1037"/>
      <c r="AM687" s="1037"/>
      <c r="AN687" s="1037"/>
      <c r="AO687" s="1037"/>
      <c r="AP687" s="1037"/>
    </row>
    <row r="688" spans="1:42" s="226" customFormat="1">
      <c r="A688" s="2060"/>
      <c r="B688" s="1037"/>
      <c r="C688" s="1037"/>
      <c r="D688" s="1037"/>
      <c r="E688" s="1037"/>
      <c r="F688" s="1037"/>
      <c r="G688" s="1037"/>
      <c r="H688" s="1018"/>
      <c r="I688" s="1037"/>
      <c r="J688" s="1037"/>
      <c r="K688" s="1037"/>
      <c r="L688" s="1037"/>
      <c r="M688" s="1037"/>
      <c r="N688" s="1037"/>
      <c r="O688" s="1037"/>
      <c r="P688" s="1037"/>
      <c r="Q688" s="1037"/>
      <c r="R688" s="1037"/>
      <c r="S688" s="1037"/>
      <c r="T688" s="1037"/>
      <c r="U688" s="1037"/>
      <c r="V688" s="1037"/>
      <c r="W688" s="1037"/>
      <c r="X688" s="1037"/>
      <c r="Y688" s="1037"/>
      <c r="Z688" s="1037"/>
      <c r="AA688" s="1037"/>
      <c r="AB688" s="1037"/>
      <c r="AC688" s="1037"/>
      <c r="AD688" s="1037"/>
      <c r="AE688" s="1037"/>
      <c r="AF688" s="1037"/>
      <c r="AG688" s="1037"/>
      <c r="AH688" s="1037"/>
      <c r="AI688" s="1037"/>
      <c r="AJ688" s="1037"/>
      <c r="AK688" s="1037"/>
      <c r="AL688" s="1037"/>
      <c r="AM688" s="1037"/>
      <c r="AN688" s="1037"/>
      <c r="AO688" s="1037"/>
      <c r="AP688" s="1037"/>
    </row>
    <row r="689" spans="1:42" s="226" customFormat="1">
      <c r="A689" s="2060"/>
      <c r="B689" s="1037"/>
      <c r="C689" s="1037"/>
      <c r="D689" s="1037"/>
      <c r="E689" s="1037"/>
      <c r="F689" s="1037"/>
      <c r="G689" s="1037"/>
      <c r="H689" s="1018"/>
      <c r="I689" s="1037"/>
      <c r="J689" s="1037"/>
      <c r="K689" s="1037"/>
      <c r="L689" s="1037"/>
      <c r="M689" s="1037"/>
      <c r="N689" s="1037"/>
      <c r="O689" s="1037"/>
      <c r="P689" s="1037"/>
      <c r="Q689" s="1037"/>
      <c r="R689" s="1037"/>
      <c r="S689" s="1037"/>
      <c r="T689" s="1037"/>
      <c r="U689" s="1037"/>
      <c r="V689" s="1037"/>
      <c r="W689" s="1037"/>
      <c r="X689" s="1037"/>
      <c r="Y689" s="1037"/>
      <c r="Z689" s="1037"/>
      <c r="AA689" s="1037"/>
      <c r="AB689" s="1037"/>
      <c r="AC689" s="1037"/>
      <c r="AD689" s="1037"/>
      <c r="AE689" s="1037"/>
      <c r="AF689" s="1037"/>
      <c r="AG689" s="1037"/>
      <c r="AH689" s="1037"/>
      <c r="AI689" s="1037"/>
      <c r="AJ689" s="1037"/>
      <c r="AK689" s="1037"/>
      <c r="AL689" s="1037"/>
      <c r="AM689" s="1037"/>
      <c r="AN689" s="1037"/>
      <c r="AO689" s="1037"/>
      <c r="AP689" s="1037"/>
    </row>
    <row r="690" spans="1:42" s="226" customFormat="1">
      <c r="A690" s="2060"/>
      <c r="B690" s="1037"/>
      <c r="C690" s="1037"/>
      <c r="D690" s="1037"/>
      <c r="E690" s="1037"/>
      <c r="F690" s="1037"/>
      <c r="G690" s="1037"/>
      <c r="H690" s="1018"/>
      <c r="I690" s="1037"/>
      <c r="J690" s="1037"/>
      <c r="K690" s="1037"/>
      <c r="L690" s="1037"/>
      <c r="M690" s="1037"/>
      <c r="N690" s="1037"/>
      <c r="O690" s="1037"/>
      <c r="P690" s="1037"/>
      <c r="Q690" s="1037"/>
      <c r="R690" s="1037"/>
      <c r="S690" s="1037"/>
      <c r="T690" s="1037"/>
      <c r="U690" s="1037"/>
      <c r="V690" s="1037"/>
      <c r="W690" s="1037"/>
      <c r="X690" s="1037"/>
      <c r="Y690" s="1037"/>
      <c r="Z690" s="1037"/>
      <c r="AA690" s="1037"/>
      <c r="AB690" s="1037"/>
      <c r="AC690" s="1037"/>
      <c r="AD690" s="1037"/>
      <c r="AE690" s="1037"/>
      <c r="AF690" s="1037"/>
      <c r="AG690" s="1037"/>
      <c r="AH690" s="1037"/>
      <c r="AI690" s="1037"/>
      <c r="AJ690" s="1037"/>
      <c r="AK690" s="1037"/>
      <c r="AL690" s="1037"/>
      <c r="AM690" s="1037"/>
      <c r="AN690" s="1037"/>
      <c r="AO690" s="1037"/>
      <c r="AP690" s="1037"/>
    </row>
    <row r="691" spans="1:42" s="226" customFormat="1">
      <c r="A691" s="2060"/>
      <c r="B691" s="1037"/>
      <c r="C691" s="1037"/>
      <c r="D691" s="1037"/>
      <c r="E691" s="1037"/>
      <c r="F691" s="1037"/>
      <c r="G691" s="1037"/>
      <c r="H691" s="1018"/>
      <c r="I691" s="1037"/>
      <c r="J691" s="1037"/>
      <c r="K691" s="1037"/>
      <c r="L691" s="1037"/>
      <c r="M691" s="1037"/>
      <c r="N691" s="1037"/>
      <c r="O691" s="1037"/>
      <c r="P691" s="1037"/>
      <c r="Q691" s="1037"/>
      <c r="R691" s="1037"/>
      <c r="S691" s="1037"/>
      <c r="T691" s="1037"/>
      <c r="U691" s="1037"/>
      <c r="V691" s="1037"/>
      <c r="W691" s="1037"/>
      <c r="X691" s="1037"/>
      <c r="Y691" s="1037"/>
      <c r="Z691" s="1037"/>
      <c r="AA691" s="1037"/>
      <c r="AB691" s="1037"/>
      <c r="AC691" s="1037"/>
      <c r="AD691" s="1037"/>
      <c r="AE691" s="1037"/>
      <c r="AF691" s="1037"/>
      <c r="AG691" s="1037"/>
      <c r="AH691" s="1037"/>
      <c r="AI691" s="1037"/>
      <c r="AJ691" s="1037"/>
      <c r="AK691" s="1037"/>
      <c r="AL691" s="1037"/>
      <c r="AM691" s="1037"/>
      <c r="AN691" s="1037"/>
      <c r="AO691" s="1037"/>
      <c r="AP691" s="1037"/>
    </row>
    <row r="692" spans="1:42" s="226" customFormat="1">
      <c r="A692" s="2060"/>
      <c r="B692" s="1037"/>
      <c r="C692" s="1037"/>
      <c r="D692" s="1037"/>
      <c r="E692" s="1037"/>
      <c r="F692" s="1037"/>
      <c r="G692" s="1037"/>
      <c r="H692" s="1018"/>
      <c r="I692" s="1037"/>
      <c r="J692" s="1037"/>
      <c r="K692" s="1037"/>
      <c r="L692" s="1037"/>
      <c r="M692" s="1037"/>
      <c r="N692" s="1037"/>
      <c r="O692" s="1037"/>
      <c r="P692" s="1037"/>
      <c r="Q692" s="1037"/>
      <c r="R692" s="1037"/>
      <c r="S692" s="1037"/>
      <c r="T692" s="1037"/>
      <c r="U692" s="1037"/>
      <c r="V692" s="1037"/>
      <c r="W692" s="1037"/>
      <c r="X692" s="1037"/>
      <c r="Y692" s="1037"/>
      <c r="Z692" s="1037"/>
      <c r="AA692" s="1037"/>
      <c r="AB692" s="1037"/>
      <c r="AC692" s="1037"/>
      <c r="AD692" s="1037"/>
      <c r="AE692" s="1037"/>
      <c r="AF692" s="1037"/>
      <c r="AG692" s="1037"/>
      <c r="AH692" s="1037"/>
      <c r="AI692" s="1037"/>
      <c r="AJ692" s="1037"/>
      <c r="AK692" s="1037"/>
      <c r="AL692" s="1037"/>
      <c r="AM692" s="1037"/>
      <c r="AN692" s="1037"/>
      <c r="AO692" s="1037"/>
      <c r="AP692" s="1037"/>
    </row>
    <row r="693" spans="1:42" s="226" customFormat="1">
      <c r="A693" s="2060"/>
      <c r="B693" s="1037"/>
      <c r="C693" s="1037"/>
      <c r="D693" s="1037"/>
      <c r="E693" s="1037"/>
      <c r="F693" s="1037"/>
      <c r="G693" s="1037"/>
      <c r="H693" s="1018"/>
      <c r="I693" s="1037"/>
      <c r="J693" s="1037"/>
      <c r="K693" s="1037"/>
      <c r="L693" s="1037"/>
      <c r="M693" s="1037"/>
      <c r="N693" s="1037"/>
      <c r="O693" s="1037"/>
      <c r="P693" s="1037"/>
      <c r="Q693" s="1037"/>
      <c r="R693" s="1037"/>
      <c r="S693" s="1037"/>
      <c r="T693" s="1037"/>
      <c r="U693" s="1037"/>
      <c r="V693" s="1037"/>
      <c r="W693" s="1037"/>
      <c r="X693" s="1037"/>
      <c r="Y693" s="1037"/>
      <c r="Z693" s="1037"/>
      <c r="AA693" s="1037"/>
      <c r="AB693" s="1037"/>
      <c r="AC693" s="1037"/>
      <c r="AD693" s="1037"/>
      <c r="AE693" s="1037"/>
      <c r="AF693" s="1037"/>
      <c r="AG693" s="1037"/>
      <c r="AH693" s="1037"/>
      <c r="AI693" s="1037"/>
      <c r="AJ693" s="1037"/>
      <c r="AK693" s="1037"/>
      <c r="AL693" s="1037"/>
      <c r="AM693" s="1037"/>
      <c r="AN693" s="1037"/>
      <c r="AO693" s="1037"/>
      <c r="AP693" s="1037"/>
    </row>
    <row r="694" spans="1:42" s="226" customFormat="1">
      <c r="A694" s="2060"/>
      <c r="B694" s="1037"/>
      <c r="C694" s="1037"/>
      <c r="D694" s="1037"/>
      <c r="E694" s="1037"/>
      <c r="F694" s="1037"/>
      <c r="G694" s="1037"/>
      <c r="H694" s="1018"/>
      <c r="I694" s="1037"/>
      <c r="J694" s="1037"/>
      <c r="K694" s="1037"/>
      <c r="L694" s="1037"/>
      <c r="M694" s="1037"/>
      <c r="N694" s="1037"/>
      <c r="O694" s="1037"/>
      <c r="P694" s="1037"/>
      <c r="Q694" s="1037"/>
      <c r="R694" s="1037"/>
      <c r="S694" s="1037"/>
      <c r="T694" s="1037"/>
      <c r="U694" s="1037"/>
      <c r="V694" s="1037"/>
      <c r="W694" s="1037"/>
      <c r="X694" s="1037"/>
      <c r="Y694" s="1037"/>
      <c r="Z694" s="1037"/>
      <c r="AA694" s="1037"/>
      <c r="AB694" s="1037"/>
      <c r="AC694" s="1037"/>
      <c r="AD694" s="1037"/>
      <c r="AE694" s="1037"/>
      <c r="AF694" s="1037"/>
      <c r="AG694" s="1037"/>
      <c r="AH694" s="1037"/>
      <c r="AI694" s="1037"/>
      <c r="AJ694" s="1037"/>
      <c r="AK694" s="1037"/>
      <c r="AL694" s="1037"/>
      <c r="AM694" s="1037"/>
      <c r="AN694" s="1037"/>
      <c r="AO694" s="1037"/>
      <c r="AP694" s="1037"/>
    </row>
    <row r="695" spans="1:42" s="226" customFormat="1">
      <c r="A695" s="2060"/>
      <c r="B695" s="1037"/>
      <c r="C695" s="1037"/>
      <c r="D695" s="1037"/>
      <c r="E695" s="1037"/>
      <c r="F695" s="1037"/>
      <c r="G695" s="1037"/>
      <c r="H695" s="1018"/>
      <c r="I695" s="1037"/>
      <c r="J695" s="1037"/>
      <c r="K695" s="1037"/>
      <c r="L695" s="1037"/>
      <c r="M695" s="1037"/>
      <c r="N695" s="1037"/>
      <c r="O695" s="1037"/>
      <c r="P695" s="1037"/>
      <c r="Q695" s="1037"/>
      <c r="R695" s="1037"/>
      <c r="S695" s="1037"/>
      <c r="T695" s="1037"/>
      <c r="U695" s="1037"/>
      <c r="V695" s="1037"/>
      <c r="W695" s="1037"/>
      <c r="X695" s="1037"/>
      <c r="Y695" s="1037"/>
      <c r="Z695" s="1037"/>
      <c r="AA695" s="1037"/>
      <c r="AB695" s="1037"/>
      <c r="AC695" s="1037"/>
      <c r="AD695" s="1037"/>
      <c r="AE695" s="1037"/>
      <c r="AF695" s="1037"/>
      <c r="AG695" s="1037"/>
      <c r="AH695" s="1037"/>
      <c r="AI695" s="1037"/>
      <c r="AJ695" s="1037"/>
      <c r="AK695" s="1037"/>
      <c r="AL695" s="1037"/>
      <c r="AM695" s="1037"/>
      <c r="AN695" s="1037"/>
      <c r="AO695" s="1037"/>
      <c r="AP695" s="1037"/>
    </row>
    <row r="696" spans="1:42" s="226" customFormat="1">
      <c r="A696" s="2060"/>
      <c r="B696" s="1037"/>
      <c r="C696" s="1037"/>
      <c r="D696" s="1037"/>
      <c r="E696" s="1037"/>
      <c r="F696" s="1037"/>
      <c r="G696" s="1037"/>
      <c r="H696" s="1018"/>
      <c r="I696" s="1037"/>
      <c r="J696" s="1037"/>
      <c r="K696" s="1037"/>
      <c r="L696" s="1037"/>
      <c r="M696" s="1037"/>
      <c r="N696" s="1037"/>
      <c r="O696" s="1037"/>
      <c r="P696" s="1037"/>
      <c r="Q696" s="1037"/>
      <c r="R696" s="1037"/>
      <c r="S696" s="1037"/>
      <c r="T696" s="1037"/>
      <c r="U696" s="1037"/>
      <c r="V696" s="1037"/>
      <c r="W696" s="1037"/>
      <c r="X696" s="1037"/>
      <c r="Y696" s="1037"/>
      <c r="Z696" s="1037"/>
      <c r="AA696" s="1037"/>
      <c r="AB696" s="1037"/>
      <c r="AC696" s="1037"/>
      <c r="AD696" s="1037"/>
      <c r="AE696" s="1037"/>
      <c r="AF696" s="1037"/>
      <c r="AG696" s="1037"/>
      <c r="AH696" s="1037"/>
      <c r="AI696" s="1037"/>
      <c r="AJ696" s="1037"/>
      <c r="AK696" s="1037"/>
      <c r="AL696" s="1037"/>
      <c r="AM696" s="1037"/>
      <c r="AN696" s="1037"/>
      <c r="AO696" s="1037"/>
      <c r="AP696" s="1037"/>
    </row>
    <row r="697" spans="1:42" s="226" customFormat="1">
      <c r="A697" s="2060"/>
      <c r="B697" s="1037"/>
      <c r="C697" s="1037"/>
      <c r="D697" s="1037"/>
      <c r="E697" s="1037"/>
      <c r="F697" s="1037"/>
      <c r="G697" s="1037"/>
      <c r="H697" s="1018"/>
      <c r="I697" s="1037"/>
      <c r="J697" s="1037"/>
      <c r="K697" s="1037"/>
      <c r="L697" s="1037"/>
      <c r="M697" s="1037"/>
      <c r="N697" s="1037"/>
      <c r="O697" s="1037"/>
      <c r="P697" s="1037"/>
      <c r="Q697" s="1037"/>
      <c r="R697" s="1037"/>
      <c r="S697" s="1037"/>
      <c r="T697" s="1037"/>
      <c r="U697" s="1037"/>
      <c r="V697" s="1037"/>
      <c r="W697" s="1037"/>
      <c r="X697" s="1037"/>
      <c r="Y697" s="1037"/>
      <c r="Z697" s="1037"/>
      <c r="AA697" s="1037"/>
      <c r="AB697" s="1037"/>
      <c r="AC697" s="1037"/>
      <c r="AD697" s="1037"/>
      <c r="AE697" s="1037"/>
      <c r="AF697" s="1037"/>
      <c r="AG697" s="1037"/>
      <c r="AH697" s="1037"/>
      <c r="AI697" s="1037"/>
      <c r="AJ697" s="1037"/>
      <c r="AK697" s="1037"/>
      <c r="AL697" s="1037"/>
      <c r="AM697" s="1037"/>
      <c r="AN697" s="1037"/>
      <c r="AO697" s="1037"/>
      <c r="AP697" s="1037"/>
    </row>
    <row r="698" spans="1:42" s="226" customFormat="1">
      <c r="A698" s="2060"/>
      <c r="B698" s="1037"/>
      <c r="C698" s="1037"/>
      <c r="D698" s="1037"/>
      <c r="E698" s="1037"/>
      <c r="F698" s="1037"/>
      <c r="G698" s="1037"/>
      <c r="H698" s="1018"/>
      <c r="I698" s="1037"/>
      <c r="J698" s="1037"/>
      <c r="K698" s="1037"/>
      <c r="L698" s="1037"/>
      <c r="M698" s="1037"/>
      <c r="N698" s="1037"/>
      <c r="O698" s="1037"/>
      <c r="P698" s="1037"/>
      <c r="Q698" s="1037"/>
      <c r="R698" s="1037"/>
      <c r="S698" s="1037"/>
      <c r="T698" s="1037"/>
      <c r="U698" s="1037"/>
      <c r="V698" s="1037"/>
      <c r="W698" s="1037"/>
      <c r="X698" s="1037"/>
      <c r="Y698" s="1037"/>
      <c r="Z698" s="1037"/>
      <c r="AA698" s="1037"/>
      <c r="AB698" s="1037"/>
      <c r="AC698" s="1037"/>
      <c r="AD698" s="1037"/>
      <c r="AE698" s="1037"/>
      <c r="AF698" s="1037"/>
      <c r="AG698" s="1037"/>
      <c r="AH698" s="1037"/>
      <c r="AI698" s="1037"/>
      <c r="AJ698" s="1037"/>
      <c r="AK698" s="1037"/>
      <c r="AL698" s="1037"/>
      <c r="AM698" s="1037"/>
      <c r="AN698" s="1037"/>
      <c r="AO698" s="1037"/>
      <c r="AP698" s="1037"/>
    </row>
    <row r="699" spans="1:42" s="226" customFormat="1">
      <c r="A699" s="2060"/>
      <c r="B699" s="1037"/>
      <c r="C699" s="1037"/>
      <c r="D699" s="1037"/>
      <c r="E699" s="1037"/>
      <c r="F699" s="1037"/>
      <c r="G699" s="1037"/>
      <c r="H699" s="1018"/>
      <c r="I699" s="1037"/>
      <c r="J699" s="1037"/>
      <c r="K699" s="1037"/>
      <c r="L699" s="1037"/>
      <c r="M699" s="1037"/>
      <c r="N699" s="1037"/>
      <c r="O699" s="1037"/>
      <c r="P699" s="1037"/>
      <c r="Q699" s="1037"/>
      <c r="R699" s="1037"/>
      <c r="S699" s="1037"/>
      <c r="T699" s="1037"/>
      <c r="U699" s="1037"/>
      <c r="V699" s="1037"/>
      <c r="W699" s="1037"/>
      <c r="X699" s="1037"/>
      <c r="Y699" s="1037"/>
      <c r="Z699" s="1037"/>
      <c r="AA699" s="1037"/>
      <c r="AB699" s="1037"/>
      <c r="AC699" s="1037"/>
      <c r="AD699" s="1037"/>
      <c r="AE699" s="1037"/>
      <c r="AF699" s="1037"/>
      <c r="AG699" s="1037"/>
      <c r="AH699" s="1037"/>
      <c r="AI699" s="1037"/>
      <c r="AJ699" s="1037"/>
      <c r="AK699" s="1037"/>
      <c r="AL699" s="1037"/>
      <c r="AM699" s="1037"/>
      <c r="AN699" s="1037"/>
      <c r="AO699" s="1037"/>
      <c r="AP699" s="1037"/>
    </row>
    <row r="700" spans="1:42" s="226" customFormat="1">
      <c r="A700" s="2060"/>
      <c r="B700" s="1037"/>
      <c r="C700" s="1037"/>
      <c r="D700" s="1037"/>
      <c r="E700" s="1037"/>
      <c r="F700" s="1037"/>
      <c r="G700" s="1037"/>
      <c r="H700" s="1018"/>
      <c r="I700" s="1037"/>
      <c r="J700" s="1037"/>
      <c r="K700" s="1037"/>
      <c r="L700" s="1037"/>
      <c r="M700" s="1037"/>
      <c r="N700" s="1037"/>
      <c r="O700" s="1037"/>
      <c r="P700" s="1037"/>
      <c r="Q700" s="1037"/>
      <c r="R700" s="1037"/>
      <c r="S700" s="1037"/>
      <c r="T700" s="1037"/>
      <c r="U700" s="1037"/>
      <c r="V700" s="1037"/>
      <c r="W700" s="1037"/>
      <c r="X700" s="1037"/>
      <c r="Y700" s="1037"/>
      <c r="Z700" s="1037"/>
      <c r="AA700" s="1037"/>
      <c r="AB700" s="1037"/>
      <c r="AC700" s="1037"/>
      <c r="AD700" s="1037"/>
      <c r="AE700" s="1037"/>
      <c r="AF700" s="1037"/>
      <c r="AG700" s="1037"/>
      <c r="AH700" s="1037"/>
      <c r="AI700" s="1037"/>
      <c r="AJ700" s="1037"/>
      <c r="AK700" s="1037"/>
      <c r="AL700" s="1037"/>
      <c r="AM700" s="1037"/>
      <c r="AN700" s="1037"/>
      <c r="AO700" s="1037"/>
      <c r="AP700" s="1037"/>
    </row>
    <row r="701" spans="1:42" s="226" customFormat="1">
      <c r="A701" s="2060"/>
      <c r="B701" s="1037"/>
      <c r="C701" s="1037"/>
      <c r="D701" s="1037"/>
      <c r="E701" s="1037"/>
      <c r="F701" s="1037"/>
      <c r="G701" s="1037"/>
      <c r="H701" s="1018"/>
      <c r="I701" s="1037"/>
      <c r="J701" s="1037"/>
      <c r="K701" s="1037"/>
      <c r="L701" s="1037"/>
      <c r="M701" s="1037"/>
      <c r="N701" s="1037"/>
      <c r="O701" s="1037"/>
      <c r="P701" s="1037"/>
      <c r="Q701" s="1037"/>
      <c r="R701" s="1037"/>
      <c r="S701" s="1037"/>
      <c r="T701" s="1037"/>
      <c r="U701" s="1037"/>
      <c r="V701" s="1037"/>
      <c r="W701" s="1037"/>
      <c r="X701" s="1037"/>
      <c r="Y701" s="1037"/>
      <c r="Z701" s="1037"/>
      <c r="AA701" s="1037"/>
      <c r="AB701" s="1037"/>
      <c r="AC701" s="1037"/>
      <c r="AD701" s="1037"/>
      <c r="AE701" s="1037"/>
      <c r="AF701" s="1037"/>
      <c r="AG701" s="1037"/>
      <c r="AH701" s="1037"/>
      <c r="AI701" s="1037"/>
      <c r="AJ701" s="1037"/>
      <c r="AK701" s="1037"/>
      <c r="AL701" s="1037"/>
      <c r="AM701" s="1037"/>
      <c r="AN701" s="1037"/>
      <c r="AO701" s="1037"/>
      <c r="AP701" s="1037"/>
    </row>
    <row r="702" spans="1:42" s="226" customFormat="1">
      <c r="A702" s="2060"/>
      <c r="B702" s="1037"/>
      <c r="C702" s="1037"/>
      <c r="D702" s="1037"/>
      <c r="E702" s="1037"/>
      <c r="F702" s="1037"/>
      <c r="G702" s="1037"/>
      <c r="H702" s="1018"/>
      <c r="I702" s="1037"/>
      <c r="J702" s="1037"/>
      <c r="K702" s="1037"/>
      <c r="L702" s="1037"/>
      <c r="M702" s="1037"/>
      <c r="N702" s="1037"/>
      <c r="O702" s="1037"/>
      <c r="P702" s="1037"/>
      <c r="Q702" s="1037"/>
      <c r="R702" s="1037"/>
      <c r="S702" s="1037"/>
      <c r="T702" s="1037"/>
      <c r="U702" s="1037"/>
      <c r="V702" s="1037"/>
      <c r="W702" s="1037"/>
      <c r="X702" s="1037"/>
      <c r="Y702" s="1037"/>
      <c r="Z702" s="1037"/>
      <c r="AA702" s="1037"/>
      <c r="AB702" s="1037"/>
      <c r="AC702" s="1037"/>
      <c r="AD702" s="1037"/>
      <c r="AE702" s="1037"/>
      <c r="AF702" s="1037"/>
      <c r="AG702" s="1037"/>
      <c r="AH702" s="1037"/>
      <c r="AI702" s="1037"/>
      <c r="AJ702" s="1037"/>
      <c r="AK702" s="1037"/>
      <c r="AL702" s="1037"/>
      <c r="AM702" s="1037"/>
      <c r="AN702" s="1037"/>
      <c r="AO702" s="1037"/>
      <c r="AP702" s="1037"/>
    </row>
    <row r="703" spans="1:42" s="226" customFormat="1">
      <c r="A703" s="2060"/>
      <c r="B703" s="1037"/>
      <c r="C703" s="1037"/>
      <c r="D703" s="1037"/>
      <c r="E703" s="1037"/>
      <c r="F703" s="1037"/>
      <c r="G703" s="1037"/>
      <c r="H703" s="1018"/>
      <c r="I703" s="1037"/>
      <c r="J703" s="1037"/>
      <c r="K703" s="1037"/>
      <c r="L703" s="1037"/>
      <c r="M703" s="1037"/>
      <c r="N703" s="1037"/>
      <c r="O703" s="1037"/>
      <c r="P703" s="1037"/>
      <c r="Q703" s="1037"/>
      <c r="R703" s="1037"/>
      <c r="S703" s="1037"/>
      <c r="T703" s="1037"/>
      <c r="U703" s="1037"/>
      <c r="V703" s="1037"/>
      <c r="W703" s="1037"/>
      <c r="X703" s="1037"/>
      <c r="Y703" s="1037"/>
      <c r="Z703" s="1037"/>
      <c r="AA703" s="1037"/>
      <c r="AB703" s="1037"/>
      <c r="AC703" s="1037"/>
      <c r="AD703" s="1037"/>
      <c r="AE703" s="1037"/>
      <c r="AF703" s="1037"/>
      <c r="AG703" s="1037"/>
      <c r="AH703" s="1037"/>
      <c r="AI703" s="1037"/>
      <c r="AJ703" s="1037"/>
      <c r="AK703" s="1037"/>
      <c r="AL703" s="1037"/>
      <c r="AM703" s="1037"/>
      <c r="AN703" s="1037"/>
      <c r="AO703" s="1037"/>
      <c r="AP703" s="1037"/>
    </row>
    <row r="704" spans="1:42" s="226" customFormat="1">
      <c r="A704" s="2060"/>
      <c r="B704" s="1037"/>
      <c r="C704" s="1037"/>
      <c r="D704" s="1037"/>
      <c r="E704" s="1037"/>
      <c r="F704" s="1037"/>
      <c r="G704" s="1037"/>
      <c r="H704" s="1018"/>
      <c r="I704" s="1037"/>
      <c r="J704" s="1037"/>
      <c r="K704" s="1037"/>
      <c r="L704" s="1037"/>
      <c r="M704" s="1037"/>
      <c r="N704" s="1037"/>
      <c r="O704" s="1037"/>
      <c r="P704" s="1037"/>
      <c r="Q704" s="1037"/>
      <c r="R704" s="1037"/>
      <c r="S704" s="1037"/>
      <c r="T704" s="1037"/>
      <c r="U704" s="1037"/>
      <c r="V704" s="1037"/>
      <c r="W704" s="1037"/>
      <c r="X704" s="1037"/>
      <c r="Y704" s="1037"/>
      <c r="Z704" s="1037"/>
      <c r="AA704" s="1037"/>
      <c r="AB704" s="1037"/>
      <c r="AC704" s="1037"/>
      <c r="AD704" s="1037"/>
      <c r="AE704" s="1037"/>
      <c r="AF704" s="1037"/>
      <c r="AG704" s="1037"/>
      <c r="AH704" s="1037"/>
      <c r="AI704" s="1037"/>
      <c r="AJ704" s="1037"/>
      <c r="AK704" s="1037"/>
      <c r="AL704" s="1037"/>
      <c r="AM704" s="1037"/>
      <c r="AN704" s="1037"/>
      <c r="AO704" s="1037"/>
      <c r="AP704" s="1037"/>
    </row>
    <row r="705" spans="1:42" s="226" customFormat="1">
      <c r="A705" s="2060"/>
      <c r="B705" s="1037"/>
      <c r="C705" s="1037"/>
      <c r="D705" s="1037"/>
      <c r="E705" s="1037"/>
      <c r="F705" s="1037"/>
      <c r="G705" s="1037"/>
      <c r="H705" s="1018"/>
      <c r="I705" s="1037"/>
      <c r="J705" s="1037"/>
      <c r="K705" s="1037"/>
      <c r="L705" s="1037"/>
      <c r="M705" s="1037"/>
      <c r="N705" s="1037"/>
      <c r="O705" s="1037"/>
      <c r="P705" s="1037"/>
      <c r="Q705" s="1037"/>
      <c r="R705" s="1037"/>
      <c r="S705" s="1037"/>
      <c r="T705" s="1037"/>
      <c r="U705" s="1037"/>
      <c r="V705" s="1037"/>
      <c r="W705" s="1037"/>
      <c r="X705" s="1037"/>
      <c r="Y705" s="1037"/>
      <c r="Z705" s="1037"/>
      <c r="AA705" s="1037"/>
      <c r="AB705" s="1037"/>
      <c r="AC705" s="1037"/>
      <c r="AD705" s="1037"/>
      <c r="AE705" s="1037"/>
      <c r="AF705" s="1037"/>
      <c r="AG705" s="1037"/>
      <c r="AH705" s="1037"/>
      <c r="AI705" s="1037"/>
      <c r="AJ705" s="1037"/>
      <c r="AK705" s="1037"/>
      <c r="AL705" s="1037"/>
      <c r="AM705" s="1037"/>
      <c r="AN705" s="1037"/>
      <c r="AO705" s="1037"/>
      <c r="AP705" s="1037"/>
    </row>
    <row r="706" spans="1:42" s="226" customFormat="1">
      <c r="A706" s="2060"/>
      <c r="B706" s="1037"/>
      <c r="C706" s="1037"/>
      <c r="D706" s="1037"/>
      <c r="E706" s="1037"/>
      <c r="F706" s="1037"/>
      <c r="G706" s="1037"/>
      <c r="H706" s="1018"/>
      <c r="I706" s="1037"/>
      <c r="J706" s="1037"/>
      <c r="K706" s="1037"/>
      <c r="L706" s="1037"/>
      <c r="M706" s="1037"/>
      <c r="N706" s="1037"/>
      <c r="O706" s="1037"/>
      <c r="P706" s="1037"/>
      <c r="Q706" s="1037"/>
      <c r="R706" s="1037"/>
      <c r="S706" s="1037"/>
      <c r="T706" s="1037"/>
      <c r="U706" s="1037"/>
      <c r="V706" s="1037"/>
      <c r="W706" s="1037"/>
      <c r="X706" s="1037"/>
      <c r="Y706" s="1037"/>
      <c r="Z706" s="1037"/>
      <c r="AA706" s="1037"/>
      <c r="AB706" s="1037"/>
      <c r="AC706" s="1037"/>
      <c r="AD706" s="1037"/>
      <c r="AE706" s="1037"/>
      <c r="AF706" s="1037"/>
      <c r="AG706" s="1037"/>
      <c r="AH706" s="1037"/>
      <c r="AI706" s="1037"/>
      <c r="AJ706" s="1037"/>
      <c r="AK706" s="1037"/>
      <c r="AL706" s="1037"/>
      <c r="AM706" s="1037"/>
      <c r="AN706" s="1037"/>
      <c r="AO706" s="1037"/>
      <c r="AP706" s="1037"/>
    </row>
    <row r="707" spans="1:42" s="226" customFormat="1">
      <c r="A707" s="2060"/>
      <c r="B707" s="1037"/>
      <c r="C707" s="1037"/>
      <c r="D707" s="1037"/>
      <c r="E707" s="1037"/>
      <c r="F707" s="1037"/>
      <c r="G707" s="1037"/>
      <c r="H707" s="1018"/>
      <c r="I707" s="1037"/>
      <c r="J707" s="1037"/>
      <c r="K707" s="1037"/>
      <c r="L707" s="1037"/>
      <c r="M707" s="1037"/>
      <c r="N707" s="1037"/>
      <c r="O707" s="1037"/>
      <c r="P707" s="1037"/>
      <c r="Q707" s="1037"/>
      <c r="R707" s="1037"/>
      <c r="S707" s="1037"/>
      <c r="T707" s="1037"/>
      <c r="U707" s="1037"/>
      <c r="V707" s="1037"/>
      <c r="W707" s="1037"/>
      <c r="X707" s="1037"/>
      <c r="Y707" s="1037"/>
      <c r="Z707" s="1037"/>
      <c r="AA707" s="1037"/>
      <c r="AB707" s="1037"/>
      <c r="AC707" s="1037"/>
      <c r="AD707" s="1037"/>
      <c r="AE707" s="1037"/>
      <c r="AF707" s="1037"/>
      <c r="AG707" s="1037"/>
      <c r="AH707" s="1037"/>
      <c r="AI707" s="1037"/>
      <c r="AJ707" s="1037"/>
      <c r="AK707" s="1037"/>
      <c r="AL707" s="1037"/>
      <c r="AM707" s="1037"/>
      <c r="AN707" s="1037"/>
      <c r="AO707" s="1037"/>
      <c r="AP707" s="1037"/>
    </row>
    <row r="708" spans="1:42" s="226" customFormat="1">
      <c r="A708" s="2060"/>
      <c r="B708" s="1037"/>
      <c r="C708" s="1037"/>
      <c r="D708" s="1037"/>
      <c r="E708" s="1037"/>
      <c r="F708" s="1037"/>
      <c r="G708" s="1037"/>
      <c r="H708" s="1018"/>
      <c r="I708" s="1037"/>
      <c r="J708" s="1037"/>
      <c r="K708" s="1037"/>
      <c r="L708" s="1037"/>
      <c r="M708" s="1037"/>
      <c r="N708" s="1037"/>
      <c r="O708" s="1037"/>
      <c r="P708" s="1037"/>
      <c r="Q708" s="1037"/>
      <c r="R708" s="1037"/>
      <c r="S708" s="1037"/>
      <c r="T708" s="1037"/>
      <c r="U708" s="1037"/>
      <c r="V708" s="1037"/>
      <c r="W708" s="1037"/>
      <c r="X708" s="1037"/>
      <c r="Y708" s="1037"/>
      <c r="Z708" s="1037"/>
      <c r="AA708" s="1037"/>
      <c r="AB708" s="1037"/>
      <c r="AC708" s="1037"/>
      <c r="AD708" s="1037"/>
      <c r="AE708" s="1037"/>
      <c r="AF708" s="1037"/>
      <c r="AG708" s="1037"/>
      <c r="AH708" s="1037"/>
      <c r="AI708" s="1037"/>
      <c r="AJ708" s="1037"/>
      <c r="AK708" s="1037"/>
      <c r="AL708" s="1037"/>
      <c r="AM708" s="1037"/>
      <c r="AN708" s="1037"/>
      <c r="AO708" s="1037"/>
      <c r="AP708" s="1037"/>
    </row>
    <row r="709" spans="1:42" s="226" customFormat="1">
      <c r="A709" s="2060"/>
      <c r="B709" s="1037"/>
      <c r="C709" s="1037"/>
      <c r="D709" s="1037"/>
      <c r="E709" s="1037"/>
      <c r="F709" s="1037"/>
      <c r="G709" s="1037"/>
      <c r="H709" s="1018"/>
      <c r="I709" s="1037"/>
      <c r="J709" s="1037"/>
      <c r="K709" s="1037"/>
      <c r="L709" s="1037"/>
      <c r="M709" s="1037"/>
      <c r="N709" s="1037"/>
      <c r="O709" s="1037"/>
      <c r="P709" s="1037"/>
      <c r="Q709" s="1037"/>
      <c r="R709" s="1037"/>
      <c r="S709" s="1037"/>
      <c r="T709" s="1037"/>
      <c r="U709" s="1037"/>
      <c r="V709" s="1037"/>
      <c r="W709" s="1037"/>
      <c r="X709" s="1037"/>
      <c r="Y709" s="1037"/>
      <c r="Z709" s="1037"/>
      <c r="AA709" s="1037"/>
      <c r="AB709" s="1037"/>
      <c r="AC709" s="1037"/>
      <c r="AD709" s="1037"/>
      <c r="AE709" s="1037"/>
      <c r="AF709" s="1037"/>
      <c r="AG709" s="1037"/>
      <c r="AH709" s="1037"/>
      <c r="AI709" s="1037"/>
      <c r="AJ709" s="1037"/>
      <c r="AK709" s="1037"/>
      <c r="AL709" s="1037"/>
      <c r="AM709" s="1037"/>
      <c r="AN709" s="1037"/>
      <c r="AO709" s="1037"/>
      <c r="AP709" s="1037"/>
    </row>
    <row r="710" spans="1:42" s="226" customFormat="1">
      <c r="A710" s="2060"/>
      <c r="B710" s="1037"/>
      <c r="C710" s="1037"/>
      <c r="D710" s="1037"/>
      <c r="E710" s="1037"/>
      <c r="F710" s="1037"/>
      <c r="G710" s="1037"/>
      <c r="H710" s="1018"/>
      <c r="I710" s="1037"/>
      <c r="J710" s="1037"/>
      <c r="K710" s="1037"/>
      <c r="L710" s="1037"/>
      <c r="M710" s="1037"/>
      <c r="N710" s="1037"/>
      <c r="O710" s="1037"/>
      <c r="P710" s="1037"/>
      <c r="Q710" s="1037"/>
      <c r="R710" s="1037"/>
      <c r="S710" s="1037"/>
      <c r="T710" s="1037"/>
      <c r="U710" s="1037"/>
      <c r="V710" s="1037"/>
      <c r="W710" s="1037"/>
      <c r="X710" s="1037"/>
      <c r="Y710" s="1037"/>
      <c r="Z710" s="1037"/>
      <c r="AA710" s="1037"/>
      <c r="AB710" s="1037"/>
      <c r="AC710" s="1037"/>
      <c r="AD710" s="1037"/>
      <c r="AE710" s="1037"/>
      <c r="AF710" s="1037"/>
      <c r="AG710" s="1037"/>
      <c r="AH710" s="1037"/>
      <c r="AI710" s="1037"/>
      <c r="AJ710" s="1037"/>
      <c r="AK710" s="1037"/>
      <c r="AL710" s="1037"/>
      <c r="AM710" s="1037"/>
      <c r="AN710" s="1037"/>
      <c r="AO710" s="1037"/>
      <c r="AP710" s="1037"/>
    </row>
    <row r="711" spans="1:42" s="226" customFormat="1">
      <c r="A711" s="2060"/>
      <c r="B711" s="1037"/>
      <c r="C711" s="1037"/>
      <c r="D711" s="1037"/>
      <c r="E711" s="1037"/>
      <c r="F711" s="1037"/>
      <c r="G711" s="1037"/>
      <c r="H711" s="1018"/>
      <c r="I711" s="1037"/>
      <c r="J711" s="1037"/>
      <c r="K711" s="1037"/>
      <c r="L711" s="1037"/>
      <c r="M711" s="1037"/>
      <c r="N711" s="1037"/>
      <c r="O711" s="1037"/>
      <c r="P711" s="1037"/>
      <c r="Q711" s="1037"/>
      <c r="R711" s="1037"/>
      <c r="S711" s="1037"/>
      <c r="T711" s="1037"/>
      <c r="U711" s="1037"/>
      <c r="V711" s="1037"/>
      <c r="W711" s="1037"/>
      <c r="X711" s="1037"/>
      <c r="Y711" s="1037"/>
      <c r="Z711" s="1037"/>
      <c r="AA711" s="1037"/>
      <c r="AB711" s="1037"/>
      <c r="AC711" s="1037"/>
      <c r="AD711" s="1037"/>
      <c r="AE711" s="1037"/>
      <c r="AF711" s="1037"/>
      <c r="AG711" s="1037"/>
      <c r="AH711" s="1037"/>
      <c r="AI711" s="1037"/>
      <c r="AJ711" s="1037"/>
      <c r="AK711" s="1037"/>
      <c r="AL711" s="1037"/>
      <c r="AM711" s="1037"/>
      <c r="AN711" s="1037"/>
      <c r="AO711" s="1037"/>
      <c r="AP711" s="1037"/>
    </row>
    <row r="712" spans="1:42" s="226" customFormat="1">
      <c r="A712" s="2060"/>
      <c r="B712" s="1037"/>
      <c r="C712" s="1037"/>
      <c r="D712" s="1037"/>
      <c r="E712" s="1037"/>
      <c r="F712" s="1037"/>
      <c r="G712" s="1037"/>
      <c r="H712" s="1018"/>
      <c r="I712" s="1037"/>
      <c r="J712" s="1037"/>
      <c r="K712" s="1037"/>
      <c r="L712" s="1037"/>
      <c r="M712" s="1037"/>
      <c r="N712" s="1037"/>
      <c r="O712" s="1037"/>
      <c r="P712" s="1037"/>
      <c r="Q712" s="1037"/>
      <c r="R712" s="1037"/>
      <c r="S712" s="1037"/>
      <c r="T712" s="1037"/>
      <c r="U712" s="1037"/>
      <c r="V712" s="1037"/>
      <c r="W712" s="1037"/>
      <c r="X712" s="1037"/>
      <c r="Y712" s="1037"/>
      <c r="Z712" s="1037"/>
      <c r="AA712" s="1037"/>
      <c r="AB712" s="1037"/>
      <c r="AC712" s="1037"/>
      <c r="AD712" s="1037"/>
      <c r="AE712" s="1037"/>
      <c r="AF712" s="1037"/>
      <c r="AG712" s="1037"/>
      <c r="AH712" s="1037"/>
      <c r="AI712" s="1037"/>
      <c r="AJ712" s="1037"/>
      <c r="AK712" s="1037"/>
      <c r="AL712" s="1037"/>
      <c r="AM712" s="1037"/>
      <c r="AN712" s="1037"/>
      <c r="AO712" s="1037"/>
      <c r="AP712" s="1037"/>
    </row>
    <row r="713" spans="1:42" s="226" customFormat="1">
      <c r="A713" s="2060"/>
      <c r="B713" s="1037"/>
      <c r="C713" s="1037"/>
      <c r="D713" s="1037"/>
      <c r="E713" s="1037"/>
      <c r="F713" s="1037"/>
      <c r="G713" s="1037"/>
      <c r="H713" s="1018"/>
      <c r="I713" s="1037"/>
      <c r="J713" s="1037"/>
      <c r="K713" s="1037"/>
      <c r="L713" s="1037"/>
      <c r="M713" s="1037"/>
      <c r="N713" s="1037"/>
      <c r="O713" s="1037"/>
      <c r="P713" s="1037"/>
      <c r="Q713" s="1037"/>
      <c r="R713" s="1037"/>
      <c r="S713" s="1037"/>
      <c r="T713" s="1037"/>
      <c r="U713" s="1037"/>
      <c r="V713" s="1037"/>
      <c r="W713" s="1037"/>
      <c r="X713" s="1037"/>
      <c r="Y713" s="1037"/>
      <c r="Z713" s="1037"/>
      <c r="AA713" s="1037"/>
      <c r="AB713" s="1037"/>
      <c r="AC713" s="1037"/>
      <c r="AD713" s="1037"/>
      <c r="AE713" s="1037"/>
      <c r="AF713" s="1037"/>
      <c r="AG713" s="1037"/>
      <c r="AH713" s="1037"/>
      <c r="AI713" s="1037"/>
      <c r="AJ713" s="1037"/>
      <c r="AK713" s="1037"/>
      <c r="AL713" s="1037"/>
      <c r="AM713" s="1037"/>
      <c r="AN713" s="1037"/>
      <c r="AO713" s="1037"/>
      <c r="AP713" s="1037"/>
    </row>
    <row r="714" spans="1:42" s="226" customFormat="1">
      <c r="A714" s="2060"/>
      <c r="B714" s="1037"/>
      <c r="C714" s="1037"/>
      <c r="D714" s="1037"/>
      <c r="E714" s="1037"/>
      <c r="F714" s="1037"/>
      <c r="G714" s="1037"/>
      <c r="H714" s="1018"/>
      <c r="I714" s="1037"/>
      <c r="J714" s="1037"/>
      <c r="K714" s="1037"/>
      <c r="L714" s="1037"/>
      <c r="M714" s="1037"/>
      <c r="N714" s="1037"/>
      <c r="O714" s="1037"/>
      <c r="P714" s="1037"/>
      <c r="Q714" s="1037"/>
      <c r="R714" s="1037"/>
      <c r="S714" s="1037"/>
      <c r="T714" s="1037"/>
      <c r="U714" s="1037"/>
      <c r="V714" s="1037"/>
      <c r="W714" s="1037"/>
      <c r="X714" s="1037"/>
      <c r="Y714" s="1037"/>
      <c r="Z714" s="1037"/>
      <c r="AA714" s="1037"/>
      <c r="AB714" s="1037"/>
      <c r="AC714" s="1037"/>
      <c r="AD714" s="1037"/>
      <c r="AE714" s="1037"/>
      <c r="AF714" s="1037"/>
      <c r="AG714" s="1037"/>
      <c r="AH714" s="1037"/>
      <c r="AI714" s="1037"/>
      <c r="AJ714" s="1037"/>
      <c r="AK714" s="1037"/>
      <c r="AL714" s="1037"/>
      <c r="AM714" s="1037"/>
      <c r="AN714" s="1037"/>
      <c r="AO714" s="1037"/>
      <c r="AP714" s="1037"/>
    </row>
    <row r="715" spans="1:42" s="226" customFormat="1">
      <c r="A715" s="2060"/>
      <c r="B715" s="1037"/>
      <c r="C715" s="1037"/>
      <c r="D715" s="1037"/>
      <c r="E715" s="1037"/>
      <c r="F715" s="1037"/>
      <c r="G715" s="1037"/>
      <c r="H715" s="1018"/>
      <c r="I715" s="1037"/>
      <c r="J715" s="1037"/>
      <c r="K715" s="1037"/>
      <c r="L715" s="1037"/>
      <c r="M715" s="1037"/>
      <c r="N715" s="1037"/>
      <c r="O715" s="1037"/>
      <c r="P715" s="1037"/>
      <c r="Q715" s="1037"/>
      <c r="R715" s="1037"/>
      <c r="S715" s="1037"/>
      <c r="T715" s="1037"/>
      <c r="U715" s="1037"/>
      <c r="V715" s="1037"/>
      <c r="W715" s="1037"/>
      <c r="X715" s="1037"/>
      <c r="Y715" s="1037"/>
      <c r="Z715" s="1037"/>
      <c r="AA715" s="1037"/>
      <c r="AB715" s="1037"/>
      <c r="AC715" s="1037"/>
      <c r="AD715" s="1037"/>
      <c r="AE715" s="1037"/>
      <c r="AF715" s="1037"/>
      <c r="AG715" s="1037"/>
      <c r="AH715" s="1037"/>
      <c r="AI715" s="1037"/>
      <c r="AJ715" s="1037"/>
      <c r="AK715" s="1037"/>
      <c r="AL715" s="1037"/>
      <c r="AM715" s="1037"/>
      <c r="AN715" s="1037"/>
      <c r="AO715" s="1037"/>
      <c r="AP715" s="1037"/>
    </row>
    <row r="716" spans="1:42" s="226" customFormat="1">
      <c r="A716" s="2060"/>
      <c r="B716" s="1037"/>
      <c r="C716" s="1037"/>
      <c r="D716" s="1037"/>
      <c r="E716" s="1037"/>
      <c r="F716" s="1037"/>
      <c r="G716" s="1037"/>
      <c r="H716" s="1018"/>
      <c r="I716" s="1037"/>
      <c r="J716" s="1037"/>
      <c r="K716" s="1037"/>
      <c r="L716" s="1037"/>
      <c r="M716" s="1037"/>
      <c r="N716" s="1037"/>
      <c r="O716" s="1037"/>
      <c r="P716" s="1037"/>
      <c r="Q716" s="1037"/>
      <c r="R716" s="1037"/>
      <c r="S716" s="1037"/>
      <c r="T716" s="1037"/>
      <c r="U716" s="1037"/>
      <c r="V716" s="1037"/>
      <c r="W716" s="1037"/>
      <c r="X716" s="1037"/>
      <c r="Y716" s="1037"/>
      <c r="Z716" s="1037"/>
      <c r="AA716" s="1037"/>
      <c r="AB716" s="1037"/>
      <c r="AC716" s="1037"/>
      <c r="AD716" s="1037"/>
      <c r="AE716" s="1037"/>
      <c r="AF716" s="1037"/>
      <c r="AG716" s="1037"/>
      <c r="AH716" s="1037"/>
      <c r="AI716" s="1037"/>
      <c r="AJ716" s="1037"/>
      <c r="AK716" s="1037"/>
      <c r="AL716" s="1037"/>
      <c r="AM716" s="1037"/>
      <c r="AN716" s="1037"/>
      <c r="AO716" s="1037"/>
      <c r="AP716" s="1037"/>
    </row>
    <row r="717" spans="1:42" s="226" customFormat="1">
      <c r="A717" s="2060"/>
      <c r="B717" s="1037"/>
      <c r="C717" s="1037"/>
      <c r="D717" s="1037"/>
      <c r="E717" s="1037"/>
      <c r="F717" s="1037"/>
      <c r="G717" s="1037"/>
      <c r="H717" s="1018"/>
      <c r="I717" s="1037"/>
      <c r="J717" s="1037"/>
      <c r="K717" s="1037"/>
      <c r="L717" s="1037"/>
      <c r="M717" s="1037"/>
      <c r="N717" s="1037"/>
      <c r="O717" s="1037"/>
      <c r="P717" s="1037"/>
      <c r="Q717" s="1037"/>
      <c r="R717" s="1037"/>
      <c r="S717" s="1037"/>
      <c r="T717" s="1037"/>
      <c r="U717" s="1037"/>
      <c r="V717" s="1037"/>
      <c r="W717" s="1037"/>
      <c r="X717" s="1037"/>
      <c r="Y717" s="1037"/>
      <c r="Z717" s="1037"/>
      <c r="AA717" s="1037"/>
      <c r="AB717" s="1037"/>
      <c r="AC717" s="1037"/>
      <c r="AD717" s="1037"/>
      <c r="AE717" s="1037"/>
      <c r="AF717" s="1037"/>
      <c r="AG717" s="1037"/>
      <c r="AH717" s="1037"/>
      <c r="AI717" s="1037"/>
      <c r="AJ717" s="1037"/>
      <c r="AK717" s="1037"/>
      <c r="AL717" s="1037"/>
      <c r="AM717" s="1037"/>
      <c r="AN717" s="1037"/>
      <c r="AO717" s="1037"/>
      <c r="AP717" s="1037"/>
    </row>
    <row r="718" spans="1:42" s="226" customFormat="1">
      <c r="A718" s="2060"/>
      <c r="B718" s="1037"/>
      <c r="C718" s="1037"/>
      <c r="D718" s="1037"/>
      <c r="E718" s="1037"/>
      <c r="F718" s="1037"/>
      <c r="G718" s="1037"/>
      <c r="H718" s="1018"/>
      <c r="I718" s="1037"/>
      <c r="J718" s="1037"/>
      <c r="K718" s="1037"/>
      <c r="L718" s="1037"/>
      <c r="M718" s="1037"/>
      <c r="N718" s="1037"/>
      <c r="O718" s="1037"/>
      <c r="P718" s="1037"/>
      <c r="Q718" s="1037"/>
      <c r="R718" s="1037"/>
      <c r="S718" s="1037"/>
      <c r="T718" s="1037"/>
      <c r="U718" s="1037"/>
      <c r="V718" s="1037"/>
      <c r="W718" s="1037"/>
      <c r="X718" s="1037"/>
      <c r="Y718" s="1037"/>
      <c r="Z718" s="1037"/>
      <c r="AA718" s="1037"/>
      <c r="AB718" s="1037"/>
      <c r="AC718" s="1037"/>
      <c r="AD718" s="1037"/>
      <c r="AE718" s="1037"/>
      <c r="AF718" s="1037"/>
      <c r="AG718" s="1037"/>
      <c r="AH718" s="1037"/>
      <c r="AI718" s="1037"/>
      <c r="AJ718" s="1037"/>
      <c r="AK718" s="1037"/>
      <c r="AL718" s="1037"/>
      <c r="AM718" s="1037"/>
      <c r="AN718" s="1037"/>
      <c r="AO718" s="1037"/>
      <c r="AP718" s="1037"/>
    </row>
    <row r="719" spans="1:42" s="226" customFormat="1">
      <c r="A719" s="2060"/>
      <c r="B719" s="1037"/>
      <c r="C719" s="1037"/>
      <c r="D719" s="1037"/>
      <c r="E719" s="1037"/>
      <c r="F719" s="1037"/>
      <c r="G719" s="1037"/>
      <c r="H719" s="1018"/>
      <c r="I719" s="1037"/>
      <c r="J719" s="1037"/>
      <c r="K719" s="1037"/>
      <c r="L719" s="1037"/>
      <c r="M719" s="1037"/>
      <c r="N719" s="1037"/>
      <c r="O719" s="1037"/>
      <c r="P719" s="1037"/>
      <c r="Q719" s="1037"/>
      <c r="R719" s="1037"/>
      <c r="S719" s="1037"/>
      <c r="T719" s="1037"/>
      <c r="U719" s="1037"/>
      <c r="V719" s="1037"/>
      <c r="W719" s="1037"/>
      <c r="X719" s="1037"/>
      <c r="Y719" s="1037"/>
      <c r="Z719" s="1037"/>
      <c r="AA719" s="1037"/>
      <c r="AB719" s="1037"/>
      <c r="AC719" s="1037"/>
      <c r="AD719" s="1037"/>
      <c r="AE719" s="1037"/>
      <c r="AF719" s="1037"/>
      <c r="AG719" s="1037"/>
      <c r="AH719" s="1037"/>
      <c r="AI719" s="1037"/>
      <c r="AJ719" s="1037"/>
      <c r="AK719" s="1037"/>
      <c r="AL719" s="1037"/>
      <c r="AM719" s="1037"/>
      <c r="AN719" s="1037"/>
      <c r="AO719" s="1037"/>
      <c r="AP719" s="1037"/>
    </row>
    <row r="720" spans="1:42" s="226" customFormat="1">
      <c r="A720" s="2060"/>
      <c r="B720" s="1037"/>
      <c r="C720" s="1037"/>
      <c r="D720" s="1037"/>
      <c r="E720" s="1037"/>
      <c r="F720" s="1037"/>
      <c r="G720" s="1037"/>
      <c r="H720" s="1018"/>
      <c r="I720" s="1037"/>
      <c r="J720" s="1037"/>
      <c r="K720" s="1037"/>
      <c r="L720" s="1037"/>
      <c r="M720" s="1037"/>
      <c r="N720" s="1037"/>
      <c r="O720" s="1037"/>
      <c r="P720" s="1037"/>
      <c r="Q720" s="1037"/>
      <c r="R720" s="1037"/>
      <c r="S720" s="1037"/>
      <c r="T720" s="1037"/>
      <c r="U720" s="1037"/>
      <c r="V720" s="1037"/>
      <c r="W720" s="1037"/>
      <c r="X720" s="1037"/>
      <c r="Y720" s="1037"/>
      <c r="Z720" s="1037"/>
      <c r="AA720" s="1037"/>
      <c r="AB720" s="1037"/>
      <c r="AC720" s="1037"/>
      <c r="AD720" s="1037"/>
      <c r="AE720" s="1037"/>
      <c r="AF720" s="1037"/>
      <c r="AG720" s="1037"/>
      <c r="AH720" s="1037"/>
      <c r="AI720" s="1037"/>
      <c r="AJ720" s="1037"/>
      <c r="AK720" s="1037"/>
      <c r="AL720" s="1037"/>
      <c r="AM720" s="1037"/>
      <c r="AN720" s="1037"/>
      <c r="AO720" s="1037"/>
      <c r="AP720" s="1037"/>
    </row>
    <row r="721" spans="1:42" s="226" customFormat="1">
      <c r="A721" s="2060"/>
      <c r="B721" s="1037"/>
      <c r="C721" s="1037"/>
      <c r="D721" s="1037"/>
      <c r="E721" s="1037"/>
      <c r="F721" s="1037"/>
      <c r="G721" s="1037"/>
      <c r="H721" s="1018"/>
      <c r="I721" s="1037"/>
      <c r="J721" s="1037"/>
      <c r="K721" s="1037"/>
      <c r="L721" s="1037"/>
      <c r="M721" s="1037"/>
      <c r="N721" s="1037"/>
      <c r="O721" s="1037"/>
      <c r="P721" s="1037"/>
      <c r="Q721" s="1037"/>
      <c r="R721" s="1037"/>
      <c r="S721" s="1037"/>
      <c r="T721" s="1037"/>
      <c r="U721" s="1037"/>
      <c r="V721" s="1037"/>
      <c r="W721" s="1037"/>
      <c r="X721" s="1037"/>
      <c r="Y721" s="1037"/>
      <c r="Z721" s="1037"/>
      <c r="AA721" s="1037"/>
      <c r="AB721" s="1037"/>
      <c r="AC721" s="1037"/>
      <c r="AD721" s="1037"/>
      <c r="AE721" s="1037"/>
      <c r="AF721" s="1037"/>
      <c r="AG721" s="1037"/>
      <c r="AH721" s="1037"/>
      <c r="AI721" s="1037"/>
      <c r="AJ721" s="1037"/>
      <c r="AK721" s="1037"/>
      <c r="AL721" s="1037"/>
      <c r="AM721" s="1037"/>
      <c r="AN721" s="1037"/>
      <c r="AO721" s="1037"/>
      <c r="AP721" s="1037"/>
    </row>
    <row r="722" spans="1:42" s="226" customFormat="1">
      <c r="A722" s="2060"/>
      <c r="B722" s="1037"/>
      <c r="C722" s="1037"/>
      <c r="D722" s="1037"/>
      <c r="E722" s="1037"/>
      <c r="F722" s="1037"/>
      <c r="G722" s="1037"/>
      <c r="H722" s="1018"/>
      <c r="I722" s="1037"/>
      <c r="J722" s="1037"/>
      <c r="K722" s="1037"/>
      <c r="L722" s="1037"/>
      <c r="M722" s="1037"/>
      <c r="N722" s="1037"/>
      <c r="O722" s="1037"/>
      <c r="P722" s="1037"/>
      <c r="Q722" s="1037"/>
      <c r="R722" s="1037"/>
      <c r="S722" s="1037"/>
      <c r="T722" s="1037"/>
      <c r="U722" s="1037"/>
      <c r="V722" s="1037"/>
      <c r="W722" s="1037"/>
      <c r="X722" s="1037"/>
      <c r="Y722" s="1037"/>
      <c r="Z722" s="1037"/>
      <c r="AA722" s="1037"/>
      <c r="AB722" s="1037"/>
      <c r="AC722" s="1037"/>
      <c r="AD722" s="1037"/>
      <c r="AE722" s="1037"/>
      <c r="AF722" s="1037"/>
      <c r="AG722" s="1037"/>
      <c r="AH722" s="1037"/>
      <c r="AI722" s="1037"/>
      <c r="AJ722" s="1037"/>
      <c r="AK722" s="1037"/>
      <c r="AL722" s="1037"/>
      <c r="AM722" s="1037"/>
      <c r="AN722" s="1037"/>
      <c r="AO722" s="1037"/>
      <c r="AP722" s="1037"/>
    </row>
    <row r="723" spans="1:42" s="226" customFormat="1">
      <c r="A723" s="2060"/>
      <c r="B723" s="1037"/>
      <c r="C723" s="1037"/>
      <c r="D723" s="1037"/>
      <c r="E723" s="1037"/>
      <c r="F723" s="1037"/>
      <c r="G723" s="1037"/>
      <c r="H723" s="1018"/>
      <c r="I723" s="1037"/>
      <c r="J723" s="1037"/>
      <c r="K723" s="1037"/>
      <c r="L723" s="1037"/>
      <c r="M723" s="1037"/>
      <c r="N723" s="1037"/>
      <c r="O723" s="1037"/>
      <c r="P723" s="1037"/>
      <c r="Q723" s="1037"/>
      <c r="R723" s="1037"/>
      <c r="S723" s="1037"/>
      <c r="T723" s="1037"/>
      <c r="U723" s="1037"/>
      <c r="V723" s="1037"/>
      <c r="W723" s="1037"/>
      <c r="X723" s="1037"/>
      <c r="Y723" s="1037"/>
      <c r="Z723" s="1037"/>
      <c r="AA723" s="1037"/>
      <c r="AB723" s="1037"/>
      <c r="AC723" s="1037"/>
      <c r="AD723" s="1037"/>
      <c r="AE723" s="1037"/>
      <c r="AF723" s="1037"/>
      <c r="AG723" s="1037"/>
      <c r="AH723" s="1037"/>
      <c r="AI723" s="1037"/>
      <c r="AJ723" s="1037"/>
      <c r="AK723" s="1037"/>
      <c r="AL723" s="1037"/>
      <c r="AM723" s="1037"/>
      <c r="AN723" s="1037"/>
      <c r="AO723" s="1037"/>
      <c r="AP723" s="1037"/>
    </row>
    <row r="724" spans="1:42" s="226" customFormat="1">
      <c r="A724" s="2060"/>
      <c r="B724" s="1037"/>
      <c r="C724" s="1037"/>
      <c r="D724" s="1037"/>
      <c r="E724" s="1037"/>
      <c r="F724" s="1037"/>
      <c r="G724" s="1037"/>
      <c r="H724" s="1018"/>
      <c r="I724" s="1037"/>
      <c r="J724" s="1037"/>
      <c r="K724" s="1037"/>
      <c r="L724" s="1037"/>
      <c r="M724" s="1037"/>
      <c r="N724" s="1037"/>
      <c r="O724" s="1037"/>
      <c r="P724" s="1037"/>
      <c r="Q724" s="1037"/>
      <c r="R724" s="1037"/>
      <c r="S724" s="1037"/>
      <c r="T724" s="1037"/>
      <c r="U724" s="1037"/>
      <c r="V724" s="1037"/>
      <c r="W724" s="1037"/>
      <c r="X724" s="1037"/>
      <c r="Y724" s="1037"/>
      <c r="Z724" s="1037"/>
      <c r="AA724" s="1037"/>
      <c r="AB724" s="1037"/>
      <c r="AC724" s="1037"/>
      <c r="AD724" s="1037"/>
      <c r="AE724" s="1037"/>
      <c r="AF724" s="1037"/>
      <c r="AG724" s="1037"/>
      <c r="AH724" s="1037"/>
      <c r="AI724" s="1037"/>
      <c r="AJ724" s="1037"/>
      <c r="AK724" s="1037"/>
      <c r="AL724" s="1037"/>
      <c r="AM724" s="1037"/>
      <c r="AN724" s="1037"/>
      <c r="AO724" s="1037"/>
      <c r="AP724" s="1037"/>
    </row>
    <row r="725" spans="1:42" s="226" customFormat="1">
      <c r="A725" s="2060"/>
      <c r="B725" s="1037"/>
      <c r="C725" s="1037"/>
      <c r="D725" s="1037"/>
      <c r="E725" s="1037"/>
      <c r="F725" s="1037"/>
      <c r="G725" s="1037"/>
      <c r="H725" s="1018"/>
      <c r="I725" s="1037"/>
      <c r="J725" s="1037"/>
      <c r="K725" s="1037"/>
      <c r="L725" s="1037"/>
      <c r="M725" s="1037"/>
      <c r="N725" s="1037"/>
      <c r="O725" s="1037"/>
      <c r="P725" s="1037"/>
      <c r="Q725" s="1037"/>
      <c r="R725" s="1037"/>
      <c r="S725" s="1037"/>
      <c r="T725" s="1037"/>
      <c r="U725" s="1037"/>
      <c r="V725" s="1037"/>
      <c r="W725" s="1037"/>
      <c r="X725" s="1037"/>
      <c r="Y725" s="1037"/>
      <c r="Z725" s="1037"/>
      <c r="AA725" s="1037"/>
      <c r="AB725" s="1037"/>
      <c r="AC725" s="1037"/>
      <c r="AD725" s="1037"/>
      <c r="AE725" s="1037"/>
      <c r="AF725" s="1037"/>
      <c r="AG725" s="1037"/>
      <c r="AH725" s="1037"/>
      <c r="AI725" s="1037"/>
      <c r="AJ725" s="1037"/>
      <c r="AK725" s="1037"/>
      <c r="AL725" s="1037"/>
      <c r="AM725" s="1037"/>
      <c r="AN725" s="1037"/>
      <c r="AO725" s="1037"/>
      <c r="AP725" s="1037"/>
    </row>
    <row r="726" spans="1:42" s="226" customFormat="1">
      <c r="A726" s="2060"/>
      <c r="B726" s="1037"/>
      <c r="C726" s="1037"/>
      <c r="D726" s="1037"/>
      <c r="E726" s="1037"/>
      <c r="F726" s="1037"/>
      <c r="G726" s="1037"/>
      <c r="H726" s="1018"/>
      <c r="I726" s="1037"/>
      <c r="J726" s="1037"/>
      <c r="K726" s="1037"/>
      <c r="L726" s="1037"/>
      <c r="M726" s="1037"/>
      <c r="N726" s="1037"/>
      <c r="O726" s="1037"/>
      <c r="P726" s="1037"/>
      <c r="Q726" s="1037"/>
      <c r="R726" s="1037"/>
      <c r="S726" s="1037"/>
      <c r="T726" s="1037"/>
      <c r="U726" s="1037"/>
      <c r="V726" s="1037"/>
      <c r="W726" s="1037"/>
      <c r="X726" s="1037"/>
      <c r="Y726" s="1037"/>
      <c r="Z726" s="1037"/>
      <c r="AA726" s="1037"/>
      <c r="AB726" s="1037"/>
      <c r="AC726" s="1037"/>
      <c r="AD726" s="1037"/>
      <c r="AE726" s="1037"/>
      <c r="AF726" s="1037"/>
      <c r="AG726" s="1037"/>
      <c r="AH726" s="1037"/>
      <c r="AI726" s="1037"/>
      <c r="AJ726" s="1037"/>
      <c r="AK726" s="1037"/>
      <c r="AL726" s="1037"/>
      <c r="AM726" s="1037"/>
      <c r="AN726" s="1037"/>
      <c r="AO726" s="1037"/>
      <c r="AP726" s="1037"/>
    </row>
    <row r="727" spans="1:42" s="226" customFormat="1">
      <c r="A727" s="2060"/>
      <c r="B727" s="1037"/>
      <c r="C727" s="1037"/>
      <c r="D727" s="1037"/>
      <c r="E727" s="1037"/>
      <c r="F727" s="1037"/>
      <c r="G727" s="1037"/>
      <c r="H727" s="1018"/>
      <c r="I727" s="1037"/>
      <c r="J727" s="1037"/>
      <c r="K727" s="1037"/>
      <c r="L727" s="1037"/>
      <c r="M727" s="1037"/>
      <c r="N727" s="1037"/>
      <c r="O727" s="1037"/>
      <c r="P727" s="1037"/>
      <c r="Q727" s="1037"/>
      <c r="R727" s="1037"/>
      <c r="S727" s="1037"/>
      <c r="T727" s="1037"/>
      <c r="U727" s="1037"/>
      <c r="V727" s="1037"/>
      <c r="W727" s="1037"/>
      <c r="X727" s="1037"/>
      <c r="Y727" s="1037"/>
      <c r="Z727" s="1037"/>
      <c r="AA727" s="1037"/>
      <c r="AB727" s="1037"/>
      <c r="AC727" s="1037"/>
      <c r="AD727" s="1037"/>
      <c r="AE727" s="1037"/>
      <c r="AF727" s="1037"/>
      <c r="AG727" s="1037"/>
      <c r="AH727" s="1037"/>
      <c r="AI727" s="1037"/>
      <c r="AJ727" s="1037"/>
      <c r="AK727" s="1037"/>
      <c r="AL727" s="1037"/>
      <c r="AM727" s="1037"/>
      <c r="AN727" s="1037"/>
      <c r="AO727" s="1037"/>
      <c r="AP727" s="1037"/>
    </row>
    <row r="728" spans="1:42" s="226" customFormat="1">
      <c r="A728" s="2060"/>
      <c r="B728" s="1037"/>
      <c r="C728" s="1037"/>
      <c r="D728" s="1037"/>
      <c r="E728" s="1037"/>
      <c r="F728" s="1037"/>
      <c r="G728" s="1037"/>
      <c r="H728" s="1018"/>
      <c r="I728" s="1037"/>
      <c r="J728" s="1037"/>
      <c r="K728" s="1037"/>
      <c r="L728" s="1037"/>
      <c r="M728" s="1037"/>
      <c r="N728" s="1037"/>
      <c r="O728" s="1037"/>
      <c r="P728" s="1037"/>
      <c r="Q728" s="1037"/>
      <c r="R728" s="1037"/>
      <c r="S728" s="1037"/>
      <c r="T728" s="1037"/>
      <c r="U728" s="1037"/>
      <c r="V728" s="1037"/>
      <c r="W728" s="1037"/>
      <c r="X728" s="1037"/>
      <c r="Y728" s="1037"/>
      <c r="Z728" s="1037"/>
      <c r="AA728" s="1037"/>
      <c r="AB728" s="1037"/>
      <c r="AC728" s="1037"/>
      <c r="AD728" s="1037"/>
      <c r="AE728" s="1037"/>
      <c r="AF728" s="1037"/>
      <c r="AG728" s="1037"/>
      <c r="AH728" s="1037"/>
      <c r="AI728" s="1037"/>
      <c r="AJ728" s="1037"/>
      <c r="AK728" s="1037"/>
      <c r="AL728" s="1037"/>
      <c r="AM728" s="1037"/>
      <c r="AN728" s="1037"/>
      <c r="AO728" s="1037"/>
      <c r="AP728" s="1037"/>
    </row>
    <row r="729" spans="1:42" s="226" customFormat="1">
      <c r="A729" s="2060"/>
      <c r="B729" s="1037"/>
      <c r="C729" s="1037"/>
      <c r="D729" s="1037"/>
      <c r="E729" s="1037"/>
      <c r="F729" s="1037"/>
      <c r="G729" s="1037"/>
      <c r="H729" s="1018"/>
      <c r="I729" s="1037"/>
      <c r="J729" s="1037"/>
      <c r="K729" s="1037"/>
      <c r="L729" s="1037"/>
      <c r="M729" s="1037"/>
      <c r="N729" s="1037"/>
      <c r="O729" s="1037"/>
      <c r="P729" s="1037"/>
      <c r="Q729" s="1037"/>
      <c r="R729" s="1037"/>
      <c r="S729" s="1037"/>
      <c r="T729" s="1037"/>
      <c r="U729" s="1037"/>
      <c r="V729" s="1037"/>
      <c r="W729" s="1037"/>
      <c r="X729" s="1037"/>
      <c r="Y729" s="1037"/>
      <c r="Z729" s="1037"/>
      <c r="AA729" s="1037"/>
      <c r="AB729" s="1037"/>
      <c r="AC729" s="1037"/>
      <c r="AD729" s="1037"/>
      <c r="AE729" s="1037"/>
      <c r="AF729" s="1037"/>
      <c r="AG729" s="1037"/>
      <c r="AH729" s="1037"/>
      <c r="AI729" s="1037"/>
      <c r="AJ729" s="1037"/>
      <c r="AK729" s="1037"/>
      <c r="AL729" s="1037"/>
      <c r="AM729" s="1037"/>
      <c r="AN729" s="1037"/>
      <c r="AO729" s="1037"/>
      <c r="AP729" s="1037"/>
    </row>
    <row r="730" spans="1:42" s="226" customFormat="1">
      <c r="A730" s="2060"/>
      <c r="B730" s="1037"/>
      <c r="C730" s="1037"/>
      <c r="D730" s="1037"/>
      <c r="E730" s="1037"/>
      <c r="F730" s="1037"/>
      <c r="G730" s="1037"/>
      <c r="H730" s="1018"/>
      <c r="I730" s="1037"/>
      <c r="J730" s="1037"/>
      <c r="K730" s="1037"/>
      <c r="L730" s="1037"/>
      <c r="M730" s="1037"/>
      <c r="N730" s="1037"/>
      <c r="O730" s="1037"/>
      <c r="P730" s="1037"/>
      <c r="Q730" s="1037"/>
      <c r="R730" s="1037"/>
      <c r="S730" s="1037"/>
      <c r="T730" s="1037"/>
      <c r="U730" s="1037"/>
      <c r="V730" s="1037"/>
      <c r="W730" s="1037"/>
      <c r="X730" s="1037"/>
      <c r="Y730" s="1037"/>
      <c r="Z730" s="1037"/>
      <c r="AA730" s="1037"/>
      <c r="AB730" s="1037"/>
      <c r="AC730" s="1037"/>
      <c r="AD730" s="1037"/>
      <c r="AE730" s="1037"/>
      <c r="AF730" s="1037"/>
      <c r="AG730" s="1037"/>
      <c r="AH730" s="1037"/>
      <c r="AI730" s="1037"/>
      <c r="AJ730" s="1037"/>
      <c r="AK730" s="1037"/>
      <c r="AL730" s="1037"/>
      <c r="AM730" s="1037"/>
      <c r="AN730" s="1037"/>
      <c r="AO730" s="1037"/>
      <c r="AP730" s="1037"/>
    </row>
    <row r="731" spans="1:42" s="226" customFormat="1">
      <c r="A731" s="2060"/>
      <c r="B731" s="1037"/>
      <c r="C731" s="1037"/>
      <c r="D731" s="1037"/>
      <c r="E731" s="1037"/>
      <c r="F731" s="1037"/>
      <c r="G731" s="1037"/>
      <c r="H731" s="1018"/>
      <c r="I731" s="1037"/>
      <c r="J731" s="1037"/>
      <c r="K731" s="1037"/>
      <c r="L731" s="1037"/>
      <c r="M731" s="1037"/>
      <c r="N731" s="1037"/>
      <c r="O731" s="1037"/>
      <c r="P731" s="1037"/>
      <c r="Q731" s="1037"/>
      <c r="R731" s="1037"/>
      <c r="S731" s="1037"/>
      <c r="T731" s="1037"/>
      <c r="U731" s="1037"/>
      <c r="V731" s="1037"/>
      <c r="W731" s="1037"/>
      <c r="X731" s="1037"/>
      <c r="Y731" s="1037"/>
      <c r="Z731" s="1037"/>
      <c r="AA731" s="1037"/>
      <c r="AB731" s="1037"/>
      <c r="AC731" s="1037"/>
      <c r="AD731" s="1037"/>
      <c r="AE731" s="1037"/>
      <c r="AF731" s="1037"/>
      <c r="AG731" s="1037"/>
      <c r="AH731" s="1037"/>
      <c r="AI731" s="1037"/>
      <c r="AJ731" s="1037"/>
      <c r="AK731" s="1037"/>
      <c r="AL731" s="1037"/>
      <c r="AM731" s="1037"/>
      <c r="AN731" s="1037"/>
      <c r="AO731" s="1037"/>
      <c r="AP731" s="1037"/>
    </row>
    <row r="732" spans="1:42" s="226" customFormat="1">
      <c r="A732" s="2060"/>
      <c r="B732" s="1037"/>
      <c r="C732" s="1037"/>
      <c r="D732" s="1037"/>
      <c r="E732" s="1037"/>
      <c r="F732" s="1037"/>
      <c r="G732" s="1037"/>
      <c r="H732" s="1018"/>
      <c r="I732" s="1037"/>
      <c r="J732" s="1037"/>
      <c r="K732" s="1037"/>
      <c r="L732" s="1037"/>
      <c r="M732" s="1037"/>
      <c r="N732" s="1037"/>
      <c r="O732" s="1037"/>
      <c r="P732" s="1037"/>
      <c r="Q732" s="1037"/>
      <c r="R732" s="1037"/>
      <c r="S732" s="1037"/>
      <c r="T732" s="1037"/>
      <c r="U732" s="1037"/>
      <c r="V732" s="1037"/>
      <c r="W732" s="1037"/>
      <c r="X732" s="1037"/>
      <c r="Y732" s="1037"/>
      <c r="Z732" s="1037"/>
      <c r="AA732" s="1037"/>
      <c r="AB732" s="1037"/>
      <c r="AC732" s="1037"/>
      <c r="AD732" s="1037"/>
      <c r="AE732" s="1037"/>
      <c r="AF732" s="1037"/>
      <c r="AG732" s="1037"/>
      <c r="AH732" s="1037"/>
      <c r="AI732" s="1037"/>
      <c r="AJ732" s="1037"/>
      <c r="AK732" s="1037"/>
      <c r="AL732" s="1037"/>
      <c r="AM732" s="1037"/>
      <c r="AN732" s="1037"/>
      <c r="AO732" s="1037"/>
      <c r="AP732" s="1037"/>
    </row>
    <row r="733" spans="1:42" s="226" customFormat="1">
      <c r="A733" s="2060"/>
      <c r="B733" s="1037"/>
      <c r="C733" s="1037"/>
      <c r="D733" s="1037"/>
      <c r="E733" s="1037"/>
      <c r="F733" s="1037"/>
      <c r="G733" s="1037"/>
      <c r="H733" s="1018"/>
      <c r="I733" s="1037"/>
      <c r="J733" s="1037"/>
      <c r="K733" s="1037"/>
      <c r="L733" s="1037"/>
      <c r="M733" s="1037"/>
      <c r="N733" s="1037"/>
      <c r="O733" s="1037"/>
      <c r="P733" s="1037"/>
      <c r="Q733" s="1037"/>
      <c r="R733" s="1037"/>
      <c r="S733" s="1037"/>
      <c r="T733" s="1037"/>
      <c r="U733" s="1037"/>
      <c r="V733" s="1037"/>
      <c r="W733" s="1037"/>
      <c r="X733" s="1037"/>
      <c r="Y733" s="1037"/>
      <c r="Z733" s="1037"/>
      <c r="AA733" s="1037"/>
      <c r="AB733" s="1037"/>
      <c r="AC733" s="1037"/>
      <c r="AD733" s="1037"/>
      <c r="AE733" s="1037"/>
      <c r="AF733" s="1037"/>
      <c r="AG733" s="1037"/>
      <c r="AH733" s="1037"/>
      <c r="AI733" s="1037"/>
      <c r="AJ733" s="1037"/>
      <c r="AK733" s="1037"/>
      <c r="AL733" s="1037"/>
      <c r="AM733" s="1037"/>
      <c r="AN733" s="1037"/>
      <c r="AO733" s="1037"/>
      <c r="AP733" s="1037"/>
    </row>
    <row r="734" spans="1:42" s="226" customFormat="1">
      <c r="A734" s="2060"/>
      <c r="B734" s="1037"/>
      <c r="C734" s="1037"/>
      <c r="D734" s="1037"/>
      <c r="E734" s="1037"/>
      <c r="F734" s="1037"/>
      <c r="G734" s="1037"/>
      <c r="H734" s="1018"/>
      <c r="I734" s="1037"/>
      <c r="J734" s="1037"/>
      <c r="K734" s="1037"/>
      <c r="L734" s="1037"/>
      <c r="M734" s="1037"/>
      <c r="N734" s="1037"/>
      <c r="O734" s="1037"/>
      <c r="P734" s="1037"/>
      <c r="Q734" s="1037"/>
      <c r="R734" s="1037"/>
      <c r="S734" s="1037"/>
      <c r="T734" s="1037"/>
      <c r="U734" s="1037"/>
      <c r="V734" s="1037"/>
      <c r="W734" s="1037"/>
      <c r="X734" s="1037"/>
      <c r="Y734" s="1037"/>
      <c r="Z734" s="1037"/>
      <c r="AA734" s="1037"/>
      <c r="AB734" s="1037"/>
      <c r="AC734" s="1037"/>
      <c r="AD734" s="1037"/>
      <c r="AE734" s="1037"/>
      <c r="AF734" s="1037"/>
      <c r="AG734" s="1037"/>
      <c r="AH734" s="1037"/>
      <c r="AI734" s="1037"/>
      <c r="AJ734" s="1037"/>
      <c r="AK734" s="1037"/>
      <c r="AL734" s="1037"/>
      <c r="AM734" s="1037"/>
      <c r="AN734" s="1037"/>
      <c r="AO734" s="1037"/>
      <c r="AP734" s="1037"/>
    </row>
    <row r="735" spans="1:42" s="226" customFormat="1">
      <c r="A735" s="2060"/>
      <c r="B735" s="1037"/>
      <c r="C735" s="1037"/>
      <c r="D735" s="1037"/>
      <c r="E735" s="1037"/>
      <c r="F735" s="1037"/>
      <c r="G735" s="1037"/>
      <c r="H735" s="1018"/>
      <c r="I735" s="1037"/>
      <c r="J735" s="1037"/>
      <c r="K735" s="1037"/>
      <c r="L735" s="1037"/>
      <c r="M735" s="1037"/>
      <c r="N735" s="1037"/>
      <c r="O735" s="1037"/>
      <c r="P735" s="1037"/>
      <c r="Q735" s="1037"/>
      <c r="R735" s="1037"/>
      <c r="S735" s="1037"/>
      <c r="T735" s="1037"/>
      <c r="U735" s="1037"/>
      <c r="V735" s="1037"/>
      <c r="W735" s="1037"/>
      <c r="X735" s="1037"/>
      <c r="Y735" s="1037"/>
      <c r="Z735" s="1037"/>
      <c r="AA735" s="1037"/>
      <c r="AB735" s="1037"/>
      <c r="AC735" s="1037"/>
      <c r="AD735" s="1037"/>
      <c r="AE735" s="1037"/>
      <c r="AF735" s="1037"/>
      <c r="AG735" s="1037"/>
      <c r="AH735" s="1037"/>
      <c r="AI735" s="1037"/>
      <c r="AJ735" s="1037"/>
      <c r="AK735" s="1037"/>
      <c r="AL735" s="1037"/>
      <c r="AM735" s="1037"/>
      <c r="AN735" s="1037"/>
      <c r="AO735" s="1037"/>
      <c r="AP735" s="1037"/>
    </row>
    <row r="736" spans="1:42" s="226" customFormat="1">
      <c r="A736" s="2060"/>
      <c r="B736" s="1037"/>
      <c r="C736" s="1037"/>
      <c r="D736" s="1037"/>
      <c r="E736" s="1037"/>
      <c r="F736" s="1037"/>
      <c r="G736" s="1037"/>
      <c r="H736" s="1018"/>
      <c r="I736" s="1037"/>
      <c r="J736" s="1037"/>
      <c r="K736" s="1037"/>
      <c r="L736" s="1037"/>
      <c r="M736" s="1037"/>
      <c r="N736" s="1037"/>
      <c r="O736" s="1037"/>
      <c r="P736" s="1037"/>
      <c r="Q736" s="1037"/>
      <c r="R736" s="1037"/>
      <c r="S736" s="1037"/>
      <c r="T736" s="1037"/>
      <c r="U736" s="1037"/>
      <c r="V736" s="1037"/>
      <c r="W736" s="1037"/>
      <c r="X736" s="1037"/>
      <c r="Y736" s="1037"/>
      <c r="Z736" s="1037"/>
      <c r="AA736" s="1037"/>
      <c r="AB736" s="1037"/>
      <c r="AC736" s="1037"/>
      <c r="AD736" s="1037"/>
      <c r="AE736" s="1037"/>
      <c r="AF736" s="1037"/>
      <c r="AG736" s="1037"/>
      <c r="AH736" s="1037"/>
      <c r="AI736" s="1037"/>
      <c r="AJ736" s="1037"/>
      <c r="AK736" s="1037"/>
      <c r="AL736" s="1037"/>
      <c r="AM736" s="1037"/>
      <c r="AN736" s="1037"/>
      <c r="AO736" s="1037"/>
      <c r="AP736" s="1037"/>
    </row>
    <row r="737" spans="1:42" s="226" customFormat="1">
      <c r="A737" s="2060"/>
      <c r="B737" s="1037"/>
      <c r="C737" s="1037"/>
      <c r="D737" s="1037"/>
      <c r="E737" s="1037"/>
      <c r="F737" s="1037"/>
      <c r="G737" s="1037"/>
      <c r="H737" s="1018"/>
      <c r="I737" s="1037"/>
      <c r="J737" s="1037"/>
      <c r="K737" s="1037"/>
      <c r="L737" s="1037"/>
      <c r="M737" s="1037"/>
      <c r="N737" s="1037"/>
      <c r="O737" s="1037"/>
      <c r="P737" s="1037"/>
      <c r="Q737" s="1037"/>
      <c r="R737" s="1037"/>
      <c r="S737" s="1037"/>
      <c r="T737" s="1037"/>
      <c r="U737" s="1037"/>
      <c r="V737" s="1037"/>
      <c r="W737" s="1037"/>
      <c r="X737" s="1037"/>
      <c r="Y737" s="1037"/>
      <c r="Z737" s="1037"/>
      <c r="AA737" s="1037"/>
      <c r="AB737" s="1037"/>
      <c r="AC737" s="1037"/>
      <c r="AD737" s="1037"/>
      <c r="AE737" s="1037"/>
      <c r="AF737" s="1037"/>
      <c r="AG737" s="1037"/>
      <c r="AH737" s="1037"/>
      <c r="AI737" s="1037"/>
      <c r="AJ737" s="1037"/>
      <c r="AK737" s="1037"/>
      <c r="AL737" s="1037"/>
      <c r="AM737" s="1037"/>
      <c r="AN737" s="1037"/>
      <c r="AO737" s="1037"/>
      <c r="AP737" s="1037"/>
    </row>
    <row r="738" spans="1:42" s="226" customFormat="1">
      <c r="A738" s="2060"/>
      <c r="B738" s="1037"/>
      <c r="C738" s="1037"/>
      <c r="D738" s="1037"/>
      <c r="E738" s="1037"/>
      <c r="F738" s="1037"/>
      <c r="G738" s="1037"/>
      <c r="H738" s="1018"/>
      <c r="I738" s="1037"/>
      <c r="J738" s="1037"/>
      <c r="K738" s="1037"/>
      <c r="L738" s="1037"/>
      <c r="M738" s="1037"/>
      <c r="N738" s="1037"/>
      <c r="O738" s="1037"/>
      <c r="P738" s="1037"/>
      <c r="Q738" s="1037"/>
      <c r="R738" s="1037"/>
      <c r="S738" s="1037"/>
      <c r="T738" s="1037"/>
      <c r="U738" s="1037"/>
      <c r="V738" s="1037"/>
      <c r="W738" s="1037"/>
      <c r="X738" s="1037"/>
      <c r="Y738" s="1037"/>
      <c r="Z738" s="1037"/>
      <c r="AA738" s="1037"/>
      <c r="AB738" s="1037"/>
      <c r="AC738" s="1037"/>
      <c r="AD738" s="1037"/>
      <c r="AE738" s="1037"/>
      <c r="AF738" s="1037"/>
      <c r="AG738" s="1037"/>
      <c r="AH738" s="1037"/>
      <c r="AI738" s="1037"/>
      <c r="AJ738" s="1037"/>
      <c r="AK738" s="1037"/>
      <c r="AL738" s="1037"/>
      <c r="AM738" s="1037"/>
      <c r="AN738" s="1037"/>
      <c r="AO738" s="1037"/>
      <c r="AP738" s="1037"/>
    </row>
    <row r="739" spans="1:42" s="226" customFormat="1">
      <c r="A739" s="2060"/>
      <c r="B739" s="1037"/>
      <c r="C739" s="1037"/>
      <c r="D739" s="1037"/>
      <c r="E739" s="1037"/>
      <c r="F739" s="1037"/>
      <c r="G739" s="1037"/>
      <c r="H739" s="1018"/>
      <c r="I739" s="1037"/>
      <c r="J739" s="1037"/>
      <c r="K739" s="1037"/>
      <c r="L739" s="1037"/>
      <c r="M739" s="1037"/>
      <c r="N739" s="1037"/>
      <c r="O739" s="1037"/>
      <c r="P739" s="1037"/>
      <c r="Q739" s="1037"/>
      <c r="R739" s="1037"/>
      <c r="S739" s="1037"/>
      <c r="T739" s="1037"/>
      <c r="U739" s="1037"/>
      <c r="V739" s="1037"/>
      <c r="W739" s="1037"/>
      <c r="X739" s="1037"/>
      <c r="Y739" s="1037"/>
      <c r="Z739" s="1037"/>
      <c r="AA739" s="1037"/>
      <c r="AB739" s="1037"/>
      <c r="AC739" s="1037"/>
      <c r="AD739" s="1037"/>
      <c r="AE739" s="1037"/>
      <c r="AF739" s="1037"/>
      <c r="AG739" s="1037"/>
      <c r="AH739" s="1037"/>
      <c r="AI739" s="1037"/>
      <c r="AJ739" s="1037"/>
      <c r="AK739" s="1037"/>
      <c r="AL739" s="1037"/>
      <c r="AM739" s="1037"/>
      <c r="AN739" s="1037"/>
      <c r="AO739" s="1037"/>
      <c r="AP739" s="1037"/>
    </row>
    <row r="740" spans="1:42" s="226" customFormat="1">
      <c r="A740" s="2060"/>
      <c r="B740" s="1037"/>
      <c r="C740" s="1037"/>
      <c r="D740" s="1037"/>
      <c r="E740" s="1037"/>
      <c r="F740" s="1037"/>
      <c r="G740" s="1037"/>
      <c r="H740" s="1018"/>
      <c r="I740" s="1037"/>
      <c r="J740" s="1037"/>
      <c r="K740" s="1037"/>
      <c r="L740" s="1037"/>
      <c r="M740" s="1037"/>
      <c r="N740" s="1037"/>
      <c r="O740" s="1037"/>
      <c r="P740" s="1037"/>
      <c r="Q740" s="1037"/>
      <c r="R740" s="1037"/>
      <c r="S740" s="1037"/>
      <c r="T740" s="1037"/>
      <c r="U740" s="1037"/>
      <c r="V740" s="1037"/>
      <c r="W740" s="1037"/>
      <c r="X740" s="1037"/>
      <c r="Y740" s="1037"/>
      <c r="Z740" s="1037"/>
      <c r="AA740" s="1037"/>
      <c r="AB740" s="1037"/>
      <c r="AC740" s="1037"/>
      <c r="AD740" s="1037"/>
      <c r="AE740" s="1037"/>
      <c r="AF740" s="1037"/>
      <c r="AG740" s="1037"/>
      <c r="AH740" s="1037"/>
      <c r="AI740" s="1037"/>
      <c r="AJ740" s="1037"/>
      <c r="AK740" s="1037"/>
      <c r="AL740" s="1037"/>
      <c r="AM740" s="1037"/>
      <c r="AN740" s="1037"/>
      <c r="AO740" s="1037"/>
      <c r="AP740" s="1037"/>
    </row>
    <row r="741" spans="1:42" s="226" customFormat="1">
      <c r="A741" s="2060"/>
      <c r="B741" s="1037"/>
      <c r="C741" s="1037"/>
      <c r="D741" s="1037"/>
      <c r="E741" s="1037"/>
      <c r="F741" s="1037"/>
      <c r="G741" s="1037"/>
      <c r="H741" s="1018"/>
      <c r="I741" s="1037"/>
      <c r="J741" s="1037"/>
      <c r="K741" s="1037"/>
      <c r="L741" s="1037"/>
      <c r="M741" s="1037"/>
      <c r="N741" s="1037"/>
      <c r="O741" s="1037"/>
      <c r="P741" s="1037"/>
      <c r="Q741" s="1037"/>
      <c r="R741" s="1037"/>
      <c r="S741" s="1037"/>
      <c r="T741" s="1037"/>
      <c r="U741" s="1037"/>
      <c r="V741" s="1037"/>
      <c r="W741" s="1037"/>
      <c r="X741" s="1037"/>
      <c r="Y741" s="1037"/>
      <c r="Z741" s="1037"/>
      <c r="AA741" s="1037"/>
      <c r="AB741" s="1037"/>
      <c r="AC741" s="1037"/>
      <c r="AD741" s="1037"/>
      <c r="AE741" s="1037"/>
      <c r="AF741" s="1037"/>
      <c r="AG741" s="1037"/>
      <c r="AH741" s="1037"/>
      <c r="AI741" s="1037"/>
      <c r="AJ741" s="1037"/>
      <c r="AK741" s="1037"/>
      <c r="AL741" s="1037"/>
      <c r="AM741" s="1037"/>
      <c r="AN741" s="1037"/>
      <c r="AO741" s="1037"/>
      <c r="AP741" s="1037"/>
    </row>
    <row r="742" spans="1:42" s="226" customFormat="1">
      <c r="A742" s="2060"/>
      <c r="B742" s="1037"/>
      <c r="C742" s="1037"/>
      <c r="D742" s="1037"/>
      <c r="E742" s="1037"/>
      <c r="F742" s="1037"/>
      <c r="G742" s="1037"/>
      <c r="H742" s="1018"/>
      <c r="I742" s="1037"/>
      <c r="J742" s="1037"/>
      <c r="K742" s="1037"/>
      <c r="L742" s="1037"/>
      <c r="M742" s="1037"/>
      <c r="N742" s="1037"/>
      <c r="O742" s="1037"/>
      <c r="P742" s="1037"/>
      <c r="Q742" s="1037"/>
      <c r="R742" s="1037"/>
      <c r="S742" s="1037"/>
      <c r="T742" s="1037"/>
      <c r="U742" s="1037"/>
      <c r="V742" s="1037"/>
      <c r="W742" s="1037"/>
      <c r="X742" s="1037"/>
      <c r="Y742" s="1037"/>
      <c r="Z742" s="1037"/>
      <c r="AA742" s="1037"/>
      <c r="AB742" s="1037"/>
      <c r="AC742" s="1037"/>
      <c r="AD742" s="1037"/>
      <c r="AE742" s="1037"/>
      <c r="AF742" s="1037"/>
      <c r="AG742" s="1037"/>
      <c r="AH742" s="1037"/>
      <c r="AI742" s="1037"/>
      <c r="AJ742" s="1037"/>
      <c r="AK742" s="1037"/>
      <c r="AL742" s="1037"/>
      <c r="AM742" s="1037"/>
      <c r="AN742" s="1037"/>
      <c r="AO742" s="1037"/>
      <c r="AP742" s="1037"/>
    </row>
    <row r="743" spans="1:42" s="226" customFormat="1">
      <c r="A743" s="2060"/>
      <c r="B743" s="1037"/>
      <c r="C743" s="1037"/>
      <c r="D743" s="1037"/>
      <c r="E743" s="1037"/>
      <c r="F743" s="1037"/>
      <c r="G743" s="1037"/>
      <c r="H743" s="1018"/>
      <c r="I743" s="1037"/>
      <c r="J743" s="1037"/>
      <c r="K743" s="1037"/>
      <c r="L743" s="1037"/>
      <c r="M743" s="1037"/>
      <c r="N743" s="1037"/>
      <c r="O743" s="1037"/>
      <c r="P743" s="1037"/>
      <c r="Q743" s="1037"/>
      <c r="R743" s="1037"/>
      <c r="S743" s="1037"/>
      <c r="T743" s="1037"/>
      <c r="U743" s="1037"/>
      <c r="V743" s="1037"/>
      <c r="W743" s="1037"/>
      <c r="X743" s="1037"/>
      <c r="Y743" s="1037"/>
      <c r="Z743" s="1037"/>
      <c r="AA743" s="1037"/>
      <c r="AB743" s="1037"/>
      <c r="AC743" s="1037"/>
      <c r="AD743" s="1037"/>
      <c r="AE743" s="1037"/>
      <c r="AF743" s="1037"/>
      <c r="AG743" s="1037"/>
      <c r="AH743" s="1037"/>
      <c r="AI743" s="1037"/>
      <c r="AJ743" s="1037"/>
      <c r="AK743" s="1037"/>
      <c r="AL743" s="1037"/>
      <c r="AM743" s="1037"/>
      <c r="AN743" s="1037"/>
      <c r="AO743" s="1037"/>
      <c r="AP743" s="1037"/>
    </row>
    <row r="744" spans="1:42" s="226" customFormat="1">
      <c r="A744" s="2060"/>
      <c r="B744" s="1037"/>
      <c r="C744" s="1037"/>
      <c r="D744" s="1037"/>
      <c r="E744" s="1037"/>
      <c r="F744" s="1037"/>
      <c r="G744" s="1037"/>
      <c r="H744" s="1018"/>
      <c r="I744" s="1037"/>
      <c r="J744" s="1037"/>
      <c r="K744" s="1037"/>
      <c r="L744" s="1037"/>
      <c r="M744" s="1037"/>
      <c r="N744" s="1037"/>
      <c r="O744" s="1037"/>
      <c r="P744" s="1037"/>
      <c r="Q744" s="1037"/>
      <c r="R744" s="1037"/>
      <c r="S744" s="1037"/>
      <c r="T744" s="1037"/>
      <c r="U744" s="1037"/>
      <c r="V744" s="1037"/>
      <c r="W744" s="1037"/>
      <c r="X744" s="1037"/>
      <c r="Y744" s="1037"/>
      <c r="Z744" s="1037"/>
      <c r="AA744" s="1037"/>
      <c r="AB744" s="1037"/>
      <c r="AC744" s="1037"/>
      <c r="AD744" s="1037"/>
      <c r="AE744" s="1037"/>
      <c r="AF744" s="1037"/>
      <c r="AG744" s="1037"/>
      <c r="AH744" s="1037"/>
      <c r="AI744" s="1037"/>
      <c r="AJ744" s="1037"/>
      <c r="AK744" s="1037"/>
      <c r="AL744" s="1037"/>
      <c r="AM744" s="1037"/>
      <c r="AN744" s="1037"/>
      <c r="AO744" s="1037"/>
      <c r="AP744" s="1037"/>
    </row>
    <row r="745" spans="1:42" s="226" customFormat="1">
      <c r="A745" s="2060"/>
      <c r="B745" s="1037"/>
      <c r="C745" s="1037"/>
      <c r="D745" s="1037"/>
      <c r="E745" s="1037"/>
      <c r="F745" s="1037"/>
      <c r="G745" s="1037"/>
      <c r="H745" s="1018"/>
      <c r="I745" s="1037"/>
      <c r="J745" s="1037"/>
      <c r="K745" s="1037"/>
      <c r="L745" s="1037"/>
      <c r="M745" s="1037"/>
      <c r="N745" s="1037"/>
      <c r="O745" s="1037"/>
      <c r="P745" s="1037"/>
      <c r="Q745" s="1037"/>
      <c r="R745" s="1037"/>
      <c r="S745" s="1037"/>
      <c r="T745" s="1037"/>
      <c r="U745" s="1037"/>
      <c r="V745" s="1037"/>
      <c r="W745" s="1037"/>
      <c r="X745" s="1037"/>
      <c r="Y745" s="1037"/>
      <c r="Z745" s="1037"/>
      <c r="AA745" s="1037"/>
      <c r="AB745" s="1037"/>
      <c r="AC745" s="1037"/>
      <c r="AD745" s="1037"/>
      <c r="AE745" s="1037"/>
      <c r="AF745" s="1037"/>
      <c r="AG745" s="1037"/>
      <c r="AH745" s="1037"/>
      <c r="AI745" s="1037"/>
      <c r="AJ745" s="1037"/>
      <c r="AK745" s="1037"/>
      <c r="AL745" s="1037"/>
      <c r="AM745" s="1037"/>
      <c r="AN745" s="1037"/>
      <c r="AO745" s="1037"/>
      <c r="AP745" s="1037"/>
    </row>
    <row r="746" spans="1:42" s="226" customFormat="1">
      <c r="A746" s="2060"/>
      <c r="B746" s="1037"/>
      <c r="C746" s="1037"/>
      <c r="D746" s="1037"/>
      <c r="E746" s="1037"/>
      <c r="F746" s="1037"/>
      <c r="G746" s="1037"/>
      <c r="H746" s="1018"/>
      <c r="I746" s="1037"/>
      <c r="J746" s="1037"/>
      <c r="K746" s="1037"/>
      <c r="L746" s="1037"/>
      <c r="M746" s="1037"/>
      <c r="N746" s="1037"/>
      <c r="O746" s="1037"/>
      <c r="P746" s="1037"/>
      <c r="Q746" s="1037"/>
      <c r="R746" s="1037"/>
      <c r="S746" s="1037"/>
      <c r="T746" s="1037"/>
      <c r="U746" s="1037"/>
      <c r="V746" s="1037"/>
      <c r="W746" s="1037"/>
      <c r="X746" s="1037"/>
      <c r="Y746" s="1037"/>
      <c r="Z746" s="1037"/>
      <c r="AA746" s="1037"/>
      <c r="AB746" s="1037"/>
      <c r="AC746" s="1037"/>
      <c r="AD746" s="1037"/>
      <c r="AE746" s="1037"/>
      <c r="AF746" s="1037"/>
      <c r="AG746" s="1037"/>
      <c r="AH746" s="1037"/>
      <c r="AI746" s="1037"/>
      <c r="AJ746" s="1037"/>
      <c r="AK746" s="1037"/>
      <c r="AL746" s="1037"/>
      <c r="AM746" s="1037"/>
      <c r="AN746" s="1037"/>
      <c r="AO746" s="1037"/>
      <c r="AP746" s="1037"/>
    </row>
    <row r="747" spans="1:42" s="226" customFormat="1">
      <c r="A747" s="2060"/>
      <c r="B747" s="1037"/>
      <c r="C747" s="1037"/>
      <c r="D747" s="1037"/>
      <c r="E747" s="1037"/>
      <c r="F747" s="1037"/>
      <c r="G747" s="1037"/>
      <c r="H747" s="1018"/>
      <c r="I747" s="1037"/>
      <c r="J747" s="1037"/>
      <c r="K747" s="1037"/>
      <c r="L747" s="1037"/>
      <c r="M747" s="1037"/>
      <c r="N747" s="1037"/>
      <c r="O747" s="1037"/>
      <c r="P747" s="1037"/>
      <c r="Q747" s="1037"/>
      <c r="R747" s="1037"/>
      <c r="S747" s="1037"/>
      <c r="T747" s="1037"/>
      <c r="U747" s="1037"/>
      <c r="V747" s="1037"/>
      <c r="W747" s="1037"/>
      <c r="X747" s="1037"/>
      <c r="Y747" s="1037"/>
      <c r="Z747" s="1037"/>
      <c r="AA747" s="1037"/>
      <c r="AB747" s="1037"/>
      <c r="AC747" s="1037"/>
      <c r="AD747" s="1037"/>
      <c r="AE747" s="1037"/>
      <c r="AF747" s="1037"/>
      <c r="AG747" s="1037"/>
      <c r="AH747" s="1037"/>
      <c r="AI747" s="1037"/>
      <c r="AJ747" s="1037"/>
      <c r="AK747" s="1037"/>
      <c r="AL747" s="1037"/>
      <c r="AM747" s="1037"/>
      <c r="AN747" s="1037"/>
      <c r="AO747" s="1037"/>
      <c r="AP747" s="1037"/>
    </row>
    <row r="748" spans="1:42" s="226" customFormat="1">
      <c r="A748" s="2060"/>
      <c r="B748" s="1037"/>
      <c r="C748" s="1037"/>
      <c r="D748" s="1037"/>
      <c r="E748" s="1037"/>
      <c r="F748" s="1037"/>
      <c r="G748" s="1037"/>
      <c r="H748" s="1018"/>
      <c r="I748" s="1037"/>
      <c r="J748" s="1037"/>
      <c r="K748" s="1037"/>
      <c r="L748" s="1037"/>
      <c r="M748" s="1037"/>
      <c r="N748" s="1037"/>
      <c r="O748" s="1037"/>
      <c r="P748" s="1037"/>
      <c r="Q748" s="1037"/>
      <c r="R748" s="1037"/>
      <c r="S748" s="1037"/>
      <c r="T748" s="1037"/>
      <c r="U748" s="1037"/>
      <c r="V748" s="1037"/>
      <c r="W748" s="1037"/>
      <c r="X748" s="1037"/>
      <c r="Y748" s="1037"/>
      <c r="Z748" s="1037"/>
      <c r="AA748" s="1037"/>
      <c r="AB748" s="1037"/>
      <c r="AC748" s="1037"/>
      <c r="AD748" s="1037"/>
      <c r="AE748" s="1037"/>
      <c r="AF748" s="1037"/>
      <c r="AG748" s="1037"/>
      <c r="AH748" s="1037"/>
      <c r="AI748" s="1037"/>
      <c r="AJ748" s="1037"/>
      <c r="AK748" s="1037"/>
      <c r="AL748" s="1037"/>
      <c r="AM748" s="1037"/>
      <c r="AN748" s="1037"/>
      <c r="AO748" s="1037"/>
      <c r="AP748" s="1037"/>
    </row>
    <row r="749" spans="1:42" s="226" customFormat="1">
      <c r="A749" s="2060"/>
      <c r="B749" s="1037"/>
      <c r="C749" s="1037"/>
      <c r="D749" s="1037"/>
      <c r="E749" s="1037"/>
      <c r="F749" s="1037"/>
      <c r="G749" s="1037"/>
      <c r="H749" s="1018"/>
      <c r="I749" s="1037"/>
      <c r="J749" s="1037"/>
      <c r="K749" s="1037"/>
      <c r="L749" s="1037"/>
      <c r="M749" s="1037"/>
      <c r="N749" s="1037"/>
      <c r="O749" s="1037"/>
      <c r="P749" s="1037"/>
      <c r="Q749" s="1037"/>
      <c r="R749" s="1037"/>
      <c r="S749" s="1037"/>
      <c r="T749" s="1037"/>
      <c r="U749" s="1037"/>
      <c r="V749" s="1037"/>
      <c r="W749" s="1037"/>
      <c r="X749" s="1037"/>
      <c r="Y749" s="1037"/>
      <c r="Z749" s="1037"/>
      <c r="AA749" s="1037"/>
      <c r="AB749" s="1037"/>
      <c r="AC749" s="1037"/>
      <c r="AD749" s="1037"/>
      <c r="AE749" s="1037"/>
      <c r="AF749" s="1037"/>
      <c r="AG749" s="1037"/>
      <c r="AH749" s="1037"/>
      <c r="AI749" s="1037"/>
      <c r="AJ749" s="1037"/>
      <c r="AK749" s="1037"/>
      <c r="AL749" s="1037"/>
      <c r="AM749" s="1037"/>
      <c r="AN749" s="1037"/>
      <c r="AO749" s="1037"/>
      <c r="AP749" s="1037"/>
    </row>
    <row r="750" spans="1:42" s="226" customFormat="1">
      <c r="A750" s="2060"/>
      <c r="B750" s="1037"/>
      <c r="C750" s="1037"/>
      <c r="D750" s="1037"/>
      <c r="E750" s="1037"/>
      <c r="F750" s="1037"/>
      <c r="G750" s="1037"/>
      <c r="H750" s="1018"/>
      <c r="I750" s="1037"/>
      <c r="J750" s="1037"/>
      <c r="K750" s="1037"/>
      <c r="L750" s="1037"/>
      <c r="M750" s="1037"/>
      <c r="N750" s="1037"/>
      <c r="O750" s="1037"/>
      <c r="P750" s="1037"/>
      <c r="Q750" s="1037"/>
      <c r="R750" s="1037"/>
      <c r="S750" s="1037"/>
      <c r="T750" s="1037"/>
      <c r="U750" s="1037"/>
      <c r="V750" s="1037"/>
      <c r="W750" s="1037"/>
      <c r="X750" s="1037"/>
      <c r="Y750" s="1037"/>
      <c r="Z750" s="1037"/>
      <c r="AA750" s="1037"/>
      <c r="AB750" s="1037"/>
      <c r="AC750" s="1037"/>
      <c r="AD750" s="1037"/>
      <c r="AE750" s="1037"/>
      <c r="AF750" s="1037"/>
      <c r="AG750" s="1037"/>
      <c r="AH750" s="1037"/>
      <c r="AI750" s="1037"/>
      <c r="AJ750" s="1037"/>
      <c r="AK750" s="1037"/>
      <c r="AL750" s="1037"/>
      <c r="AM750" s="1037"/>
      <c r="AN750" s="1037"/>
      <c r="AO750" s="1037"/>
      <c r="AP750" s="1037"/>
    </row>
    <row r="751" spans="1:42" s="226" customFormat="1">
      <c r="A751" s="2060"/>
      <c r="B751" s="1037"/>
      <c r="C751" s="1037"/>
      <c r="D751" s="1037"/>
      <c r="E751" s="1037"/>
      <c r="F751" s="1037"/>
      <c r="G751" s="1037"/>
      <c r="H751" s="1018"/>
      <c r="I751" s="1037"/>
      <c r="J751" s="1037"/>
      <c r="K751" s="1037"/>
      <c r="L751" s="1037"/>
      <c r="M751" s="1037"/>
      <c r="N751" s="1037"/>
      <c r="O751" s="1037"/>
      <c r="P751" s="1037"/>
      <c r="Q751" s="1037"/>
      <c r="R751" s="1037"/>
      <c r="S751" s="1037"/>
      <c r="T751" s="1037"/>
      <c r="U751" s="1037"/>
      <c r="V751" s="1037"/>
      <c r="W751" s="1037"/>
      <c r="X751" s="1037"/>
      <c r="Y751" s="1037"/>
      <c r="Z751" s="1037"/>
      <c r="AA751" s="1037"/>
      <c r="AB751" s="1037"/>
      <c r="AC751" s="1037"/>
      <c r="AD751" s="1037"/>
      <c r="AE751" s="1037"/>
      <c r="AF751" s="1037"/>
      <c r="AG751" s="1037"/>
      <c r="AH751" s="1037"/>
      <c r="AI751" s="1037"/>
      <c r="AJ751" s="1037"/>
      <c r="AK751" s="1037"/>
      <c r="AL751" s="1037"/>
      <c r="AM751" s="1037"/>
      <c r="AN751" s="1037"/>
      <c r="AO751" s="1037"/>
      <c r="AP751" s="1037"/>
    </row>
    <row r="752" spans="1:42" s="226" customFormat="1">
      <c r="A752" s="2060"/>
      <c r="B752" s="1037"/>
      <c r="C752" s="1037"/>
      <c r="D752" s="1037"/>
      <c r="E752" s="1037"/>
      <c r="F752" s="1037"/>
      <c r="G752" s="1037"/>
      <c r="H752" s="1018"/>
      <c r="I752" s="1037"/>
      <c r="J752" s="1037"/>
      <c r="K752" s="1037"/>
      <c r="L752" s="1037"/>
      <c r="M752" s="1037"/>
      <c r="N752" s="1037"/>
      <c r="O752" s="1037"/>
      <c r="P752" s="1037"/>
      <c r="Q752" s="1037"/>
      <c r="R752" s="1037"/>
      <c r="S752" s="1037"/>
      <c r="T752" s="1037"/>
      <c r="U752" s="1037"/>
      <c r="V752" s="1037"/>
      <c r="W752" s="1037"/>
      <c r="X752" s="1037"/>
      <c r="Y752" s="1037"/>
      <c r="Z752" s="1037"/>
      <c r="AA752" s="1037"/>
      <c r="AB752" s="1037"/>
      <c r="AC752" s="1037"/>
      <c r="AD752" s="1037"/>
      <c r="AE752" s="1037"/>
      <c r="AF752" s="1037"/>
      <c r="AG752" s="1037"/>
      <c r="AH752" s="1037"/>
      <c r="AI752" s="1037"/>
      <c r="AJ752" s="1037"/>
      <c r="AK752" s="1037"/>
      <c r="AL752" s="1037"/>
      <c r="AM752" s="1037"/>
      <c r="AN752" s="1037"/>
      <c r="AO752" s="1037"/>
      <c r="AP752" s="1037"/>
    </row>
    <row r="753" spans="1:42" s="226" customFormat="1">
      <c r="A753" s="2060"/>
      <c r="B753" s="1037"/>
      <c r="C753" s="1037"/>
      <c r="D753" s="1037"/>
      <c r="E753" s="1037"/>
      <c r="F753" s="1037"/>
      <c r="G753" s="1037"/>
      <c r="H753" s="1018"/>
      <c r="I753" s="1037"/>
      <c r="J753" s="1037"/>
      <c r="K753" s="1037"/>
      <c r="L753" s="1037"/>
      <c r="M753" s="1037"/>
      <c r="N753" s="1037"/>
      <c r="O753" s="1037"/>
      <c r="P753" s="1037"/>
      <c r="Q753" s="1037"/>
      <c r="R753" s="1037"/>
      <c r="S753" s="1037"/>
      <c r="T753" s="1037"/>
      <c r="U753" s="1037"/>
      <c r="V753" s="1037"/>
      <c r="W753" s="1037"/>
      <c r="X753" s="1037"/>
      <c r="Y753" s="1037"/>
      <c r="Z753" s="1037"/>
      <c r="AA753" s="1037"/>
      <c r="AB753" s="1037"/>
      <c r="AC753" s="1037"/>
      <c r="AD753" s="1037"/>
      <c r="AE753" s="1037"/>
      <c r="AF753" s="1037"/>
      <c r="AG753" s="1037"/>
      <c r="AH753" s="1037"/>
      <c r="AI753" s="1037"/>
      <c r="AJ753" s="1037"/>
      <c r="AK753" s="1037"/>
      <c r="AL753" s="1037"/>
      <c r="AM753" s="1037"/>
      <c r="AN753" s="1037"/>
      <c r="AO753" s="1037"/>
      <c r="AP753" s="1037"/>
    </row>
    <row r="754" spans="1:42" s="226" customFormat="1">
      <c r="A754" s="2060"/>
      <c r="B754" s="1037"/>
      <c r="C754" s="1037"/>
      <c r="D754" s="1037"/>
      <c r="E754" s="1037"/>
      <c r="F754" s="1037"/>
      <c r="G754" s="1037"/>
      <c r="H754" s="1018"/>
      <c r="I754" s="1037"/>
      <c r="J754" s="1037"/>
      <c r="K754" s="1037"/>
      <c r="L754" s="1037"/>
      <c r="M754" s="1037"/>
      <c r="N754" s="1037"/>
      <c r="O754" s="1037"/>
      <c r="P754" s="1037"/>
      <c r="Q754" s="1037"/>
      <c r="R754" s="1037"/>
      <c r="S754" s="1037"/>
      <c r="T754" s="1037"/>
      <c r="U754" s="1037"/>
      <c r="V754" s="1037"/>
      <c r="W754" s="1037"/>
      <c r="X754" s="1037"/>
      <c r="Y754" s="1037"/>
      <c r="Z754" s="1037"/>
      <c r="AA754" s="1037"/>
      <c r="AB754" s="1037"/>
      <c r="AC754" s="1037"/>
      <c r="AD754" s="1037"/>
      <c r="AE754" s="1037"/>
      <c r="AF754" s="1037"/>
      <c r="AG754" s="1037"/>
      <c r="AH754" s="1037"/>
      <c r="AI754" s="1037"/>
      <c r="AJ754" s="1037"/>
      <c r="AK754" s="1037"/>
      <c r="AL754" s="1037"/>
      <c r="AM754" s="1037"/>
      <c r="AN754" s="1037"/>
      <c r="AO754" s="1037"/>
      <c r="AP754" s="1037"/>
    </row>
    <row r="755" spans="1:42" s="226" customFormat="1">
      <c r="A755" s="2060"/>
      <c r="B755" s="1037"/>
      <c r="C755" s="1037"/>
      <c r="D755" s="1037"/>
      <c r="E755" s="1037"/>
      <c r="F755" s="1037"/>
      <c r="G755" s="1037"/>
      <c r="H755" s="1018"/>
      <c r="I755" s="1037"/>
      <c r="J755" s="1037"/>
      <c r="K755" s="1037"/>
      <c r="L755" s="1037"/>
      <c r="M755" s="1037"/>
      <c r="N755" s="1037"/>
      <c r="O755" s="1037"/>
      <c r="P755" s="1037"/>
      <c r="Q755" s="1037"/>
      <c r="R755" s="1037"/>
      <c r="S755" s="1037"/>
      <c r="T755" s="1037"/>
      <c r="U755" s="1037"/>
      <c r="V755" s="1037"/>
      <c r="W755" s="1037"/>
      <c r="X755" s="1037"/>
      <c r="Y755" s="1037"/>
      <c r="Z755" s="1037"/>
      <c r="AA755" s="1037"/>
      <c r="AB755" s="1037"/>
      <c r="AC755" s="1037"/>
      <c r="AD755" s="1037"/>
      <c r="AE755" s="1037"/>
      <c r="AF755" s="1037"/>
      <c r="AG755" s="1037"/>
      <c r="AH755" s="1037"/>
      <c r="AI755" s="1037"/>
      <c r="AJ755" s="1037"/>
      <c r="AK755" s="1037"/>
      <c r="AL755" s="1037"/>
      <c r="AM755" s="1037"/>
      <c r="AN755" s="1037"/>
      <c r="AO755" s="1037"/>
      <c r="AP755" s="1037"/>
    </row>
    <row r="756" spans="1:42" s="226" customFormat="1">
      <c r="A756" s="2060"/>
      <c r="B756" s="1037"/>
      <c r="C756" s="1037"/>
      <c r="D756" s="1037"/>
      <c r="E756" s="1037"/>
      <c r="F756" s="1037"/>
      <c r="G756" s="1037"/>
      <c r="H756" s="1018"/>
      <c r="I756" s="1037"/>
      <c r="J756" s="1037"/>
      <c r="K756" s="1037"/>
      <c r="L756" s="1037"/>
      <c r="M756" s="1037"/>
      <c r="N756" s="1037"/>
      <c r="O756" s="1037"/>
      <c r="P756" s="1037"/>
      <c r="Q756" s="1037"/>
      <c r="R756" s="1037"/>
      <c r="S756" s="1037"/>
      <c r="T756" s="1037"/>
      <c r="U756" s="1037"/>
      <c r="V756" s="1037"/>
      <c r="W756" s="1037"/>
      <c r="X756" s="1037"/>
      <c r="Y756" s="1037"/>
      <c r="Z756" s="1037"/>
      <c r="AA756" s="1037"/>
      <c r="AB756" s="1037"/>
      <c r="AC756" s="1037"/>
      <c r="AD756" s="1037"/>
      <c r="AE756" s="1037"/>
      <c r="AF756" s="1037"/>
      <c r="AG756" s="1037"/>
      <c r="AH756" s="1037"/>
      <c r="AI756" s="1037"/>
      <c r="AJ756" s="1037"/>
      <c r="AK756" s="1037"/>
      <c r="AL756" s="1037"/>
      <c r="AM756" s="1037"/>
      <c r="AN756" s="1037"/>
      <c r="AO756" s="1037"/>
      <c r="AP756" s="1037"/>
    </row>
    <row r="757" spans="1:42" s="226" customFormat="1">
      <c r="A757" s="2060"/>
      <c r="B757" s="1037"/>
      <c r="C757" s="1037"/>
      <c r="D757" s="1037"/>
      <c r="E757" s="1037"/>
      <c r="F757" s="1037"/>
      <c r="G757" s="1037"/>
      <c r="H757" s="1018"/>
      <c r="I757" s="1037"/>
      <c r="J757" s="1037"/>
      <c r="K757" s="1037"/>
      <c r="L757" s="1037"/>
      <c r="M757" s="1037"/>
      <c r="N757" s="1037"/>
      <c r="O757" s="1037"/>
      <c r="P757" s="1037"/>
      <c r="Q757" s="1037"/>
      <c r="R757" s="1037"/>
      <c r="S757" s="1037"/>
      <c r="T757" s="1037"/>
      <c r="U757" s="1037"/>
      <c r="V757" s="1037"/>
      <c r="W757" s="1037"/>
      <c r="X757" s="1037"/>
      <c r="Y757" s="1037"/>
      <c r="Z757" s="1037"/>
      <c r="AA757" s="1037"/>
      <c r="AB757" s="1037"/>
      <c r="AC757" s="1037"/>
      <c r="AD757" s="1037"/>
      <c r="AE757" s="1037"/>
      <c r="AF757" s="1037"/>
      <c r="AG757" s="1037"/>
      <c r="AH757" s="1037"/>
      <c r="AI757" s="1037"/>
      <c r="AJ757" s="1037"/>
      <c r="AK757" s="1037"/>
      <c r="AL757" s="1037"/>
      <c r="AM757" s="1037"/>
      <c r="AN757" s="1037"/>
      <c r="AO757" s="1037"/>
      <c r="AP757" s="1037"/>
    </row>
    <row r="758" spans="1:42" s="226" customFormat="1">
      <c r="A758" s="2060"/>
      <c r="B758" s="1037"/>
      <c r="C758" s="1037"/>
      <c r="D758" s="1037"/>
      <c r="E758" s="1037"/>
      <c r="F758" s="1037"/>
      <c r="G758" s="1037"/>
      <c r="H758" s="1018"/>
      <c r="I758" s="1037"/>
      <c r="J758" s="1037"/>
      <c r="K758" s="1037"/>
      <c r="L758" s="1037"/>
      <c r="M758" s="1037"/>
      <c r="N758" s="1037"/>
      <c r="O758" s="1037"/>
      <c r="P758" s="1037"/>
      <c r="Q758" s="1037"/>
      <c r="R758" s="1037"/>
      <c r="S758" s="1037"/>
      <c r="T758" s="1037"/>
      <c r="U758" s="1037"/>
      <c r="V758" s="1037"/>
      <c r="W758" s="1037"/>
      <c r="X758" s="1037"/>
      <c r="Y758" s="1037"/>
      <c r="Z758" s="1037"/>
      <c r="AA758" s="1037"/>
      <c r="AB758" s="1037"/>
      <c r="AC758" s="1037"/>
      <c r="AD758" s="1037"/>
      <c r="AE758" s="1037"/>
      <c r="AF758" s="1037"/>
      <c r="AG758" s="1037"/>
      <c r="AH758" s="1037"/>
      <c r="AI758" s="1037"/>
      <c r="AJ758" s="1037"/>
      <c r="AK758" s="1037"/>
      <c r="AL758" s="1037"/>
      <c r="AM758" s="1037"/>
      <c r="AN758" s="1037"/>
      <c r="AO758" s="1037"/>
      <c r="AP758" s="1037"/>
    </row>
    <row r="759" spans="1:42" s="226" customFormat="1">
      <c r="A759" s="2060"/>
      <c r="B759" s="1037"/>
      <c r="C759" s="1037"/>
      <c r="D759" s="1037"/>
      <c r="E759" s="1037"/>
      <c r="F759" s="1037"/>
      <c r="G759" s="1037"/>
      <c r="H759" s="1018"/>
      <c r="I759" s="1037"/>
      <c r="J759" s="1037"/>
      <c r="K759" s="1037"/>
      <c r="L759" s="1037"/>
      <c r="M759" s="1037"/>
      <c r="N759" s="1037"/>
      <c r="O759" s="1037"/>
      <c r="P759" s="1037"/>
      <c r="Q759" s="1037"/>
      <c r="R759" s="1037"/>
      <c r="S759" s="1037"/>
      <c r="T759" s="1037"/>
      <c r="U759" s="1037"/>
      <c r="V759" s="1037"/>
      <c r="W759" s="1037"/>
      <c r="X759" s="1037"/>
      <c r="Y759" s="1037"/>
      <c r="Z759" s="1037"/>
      <c r="AA759" s="1037"/>
      <c r="AB759" s="1037"/>
      <c r="AC759" s="1037"/>
      <c r="AD759" s="1037"/>
      <c r="AE759" s="1037"/>
      <c r="AF759" s="1037"/>
      <c r="AG759" s="1037"/>
      <c r="AH759" s="1037"/>
      <c r="AI759" s="1037"/>
      <c r="AJ759" s="1037"/>
      <c r="AK759" s="1037"/>
      <c r="AL759" s="1037"/>
      <c r="AM759" s="1037"/>
      <c r="AN759" s="1037"/>
      <c r="AO759" s="1037"/>
      <c r="AP759" s="1037"/>
    </row>
    <row r="760" spans="1:42" s="226" customFormat="1">
      <c r="A760" s="2060"/>
      <c r="B760" s="1037"/>
      <c r="C760" s="1037"/>
      <c r="D760" s="1037"/>
      <c r="E760" s="1037"/>
      <c r="F760" s="1037"/>
      <c r="G760" s="1037"/>
      <c r="H760" s="1018"/>
      <c r="I760" s="1037"/>
      <c r="J760" s="1037"/>
      <c r="K760" s="1037"/>
      <c r="L760" s="1037"/>
      <c r="M760" s="1037"/>
      <c r="N760" s="1037"/>
      <c r="O760" s="1037"/>
      <c r="P760" s="1037"/>
      <c r="Q760" s="1037"/>
      <c r="R760" s="1037"/>
      <c r="S760" s="1037"/>
      <c r="T760" s="1037"/>
      <c r="U760" s="1037"/>
      <c r="V760" s="1037"/>
      <c r="W760" s="1037"/>
      <c r="X760" s="1037"/>
      <c r="Y760" s="1037"/>
      <c r="Z760" s="1037"/>
      <c r="AA760" s="1037"/>
      <c r="AB760" s="1037"/>
      <c r="AC760" s="1037"/>
      <c r="AD760" s="1037"/>
      <c r="AE760" s="1037"/>
      <c r="AF760" s="1037"/>
      <c r="AG760" s="1037"/>
      <c r="AH760" s="1037"/>
      <c r="AI760" s="1037"/>
      <c r="AJ760" s="1037"/>
      <c r="AK760" s="1037"/>
      <c r="AL760" s="1037"/>
      <c r="AM760" s="1037"/>
      <c r="AN760" s="1037"/>
      <c r="AO760" s="1037"/>
      <c r="AP760" s="1037"/>
    </row>
    <row r="761" spans="1:42" s="226" customFormat="1">
      <c r="A761" s="2060"/>
      <c r="B761" s="1037"/>
      <c r="C761" s="1037"/>
      <c r="D761" s="1037"/>
      <c r="E761" s="1037"/>
      <c r="F761" s="1037"/>
      <c r="G761" s="1037"/>
      <c r="H761" s="1018"/>
      <c r="I761" s="1037"/>
      <c r="J761" s="1037"/>
      <c r="K761" s="1037"/>
      <c r="L761" s="1037"/>
      <c r="M761" s="1037"/>
      <c r="N761" s="1037"/>
      <c r="O761" s="1037"/>
      <c r="P761" s="1037"/>
      <c r="Q761" s="1037"/>
      <c r="R761" s="1037"/>
      <c r="S761" s="1037"/>
      <c r="T761" s="1037"/>
      <c r="U761" s="1037"/>
      <c r="V761" s="1037"/>
      <c r="W761" s="1037"/>
      <c r="X761" s="1037"/>
      <c r="Y761" s="1037"/>
      <c r="Z761" s="1037"/>
      <c r="AA761" s="1037"/>
      <c r="AB761" s="1037"/>
      <c r="AC761" s="1037"/>
      <c r="AD761" s="1037"/>
      <c r="AE761" s="1037"/>
      <c r="AF761" s="1037"/>
      <c r="AG761" s="1037"/>
      <c r="AH761" s="1037"/>
      <c r="AI761" s="1037"/>
      <c r="AJ761" s="1037"/>
      <c r="AK761" s="1037"/>
      <c r="AL761" s="1037"/>
      <c r="AM761" s="1037"/>
      <c r="AN761" s="1037"/>
      <c r="AO761" s="1037"/>
      <c r="AP761" s="1037"/>
    </row>
    <row r="762" spans="1:42" s="226" customFormat="1">
      <c r="A762" s="2060"/>
      <c r="B762" s="1037"/>
      <c r="C762" s="1037"/>
      <c r="D762" s="1037"/>
      <c r="E762" s="1037"/>
      <c r="F762" s="1037"/>
      <c r="G762" s="1037"/>
      <c r="H762" s="1018"/>
      <c r="I762" s="1037"/>
      <c r="J762" s="1037"/>
      <c r="K762" s="1037"/>
      <c r="L762" s="1037"/>
      <c r="M762" s="1037"/>
      <c r="N762" s="1037"/>
      <c r="O762" s="1037"/>
      <c r="P762" s="1037"/>
      <c r="Q762" s="1037"/>
      <c r="R762" s="1037"/>
      <c r="S762" s="1037"/>
      <c r="T762" s="1037"/>
      <c r="U762" s="1037"/>
      <c r="V762" s="1037"/>
      <c r="W762" s="1037"/>
      <c r="X762" s="1037"/>
      <c r="Y762" s="1037"/>
      <c r="Z762" s="1037"/>
      <c r="AA762" s="1037"/>
      <c r="AB762" s="1037"/>
      <c r="AC762" s="1037"/>
      <c r="AD762" s="1037"/>
      <c r="AE762" s="1037"/>
      <c r="AF762" s="1037"/>
      <c r="AG762" s="1037"/>
      <c r="AH762" s="1037"/>
      <c r="AI762" s="1037"/>
      <c r="AJ762" s="1037"/>
      <c r="AK762" s="1037"/>
      <c r="AL762" s="1037"/>
      <c r="AM762" s="1037"/>
      <c r="AN762" s="1037"/>
      <c r="AO762" s="1037"/>
      <c r="AP762" s="1037"/>
    </row>
    <row r="763" spans="1:42" s="226" customFormat="1">
      <c r="A763" s="2060"/>
      <c r="B763" s="1037"/>
      <c r="C763" s="1037"/>
      <c r="D763" s="1037"/>
      <c r="E763" s="1037"/>
      <c r="F763" s="1037"/>
      <c r="G763" s="1037"/>
      <c r="H763" s="1018"/>
      <c r="I763" s="1037"/>
      <c r="J763" s="1037"/>
      <c r="K763" s="1037"/>
      <c r="L763" s="1037"/>
      <c r="M763" s="1037"/>
      <c r="N763" s="1037"/>
      <c r="O763" s="1037"/>
      <c r="P763" s="1037"/>
      <c r="Q763" s="1037"/>
      <c r="R763" s="1037"/>
      <c r="S763" s="1037"/>
      <c r="T763" s="1037"/>
      <c r="U763" s="1037"/>
      <c r="V763" s="1037"/>
      <c r="W763" s="1037"/>
      <c r="X763" s="1037"/>
      <c r="Y763" s="1037"/>
      <c r="Z763" s="1037"/>
      <c r="AA763" s="1037"/>
      <c r="AB763" s="1037"/>
      <c r="AC763" s="1037"/>
      <c r="AD763" s="1037"/>
      <c r="AE763" s="1037"/>
      <c r="AF763" s="1037"/>
      <c r="AG763" s="1037"/>
      <c r="AH763" s="1037"/>
      <c r="AI763" s="1037"/>
      <c r="AJ763" s="1037"/>
      <c r="AK763" s="1037"/>
      <c r="AL763" s="1037"/>
      <c r="AM763" s="1037"/>
      <c r="AN763" s="1037"/>
      <c r="AO763" s="1037"/>
      <c r="AP763" s="1037"/>
    </row>
    <row r="764" spans="1:42" s="226" customFormat="1">
      <c r="A764" s="2060"/>
      <c r="B764" s="1037"/>
      <c r="C764" s="1037"/>
      <c r="D764" s="1037"/>
      <c r="E764" s="1037"/>
      <c r="F764" s="1037"/>
      <c r="G764" s="1037"/>
      <c r="H764" s="1018"/>
      <c r="I764" s="1037"/>
      <c r="J764" s="1037"/>
      <c r="K764" s="1037"/>
      <c r="L764" s="1037"/>
      <c r="M764" s="1037"/>
      <c r="N764" s="1037"/>
      <c r="O764" s="1037"/>
      <c r="P764" s="1037"/>
      <c r="Q764" s="1037"/>
      <c r="R764" s="1037"/>
      <c r="S764" s="1037"/>
      <c r="T764" s="1037"/>
      <c r="U764" s="1037"/>
      <c r="V764" s="1037"/>
      <c r="W764" s="1037"/>
      <c r="X764" s="1037"/>
      <c r="Y764" s="1037"/>
      <c r="Z764" s="1037"/>
      <c r="AA764" s="1037"/>
      <c r="AB764" s="1037"/>
      <c r="AC764" s="1037"/>
      <c r="AD764" s="1037"/>
      <c r="AE764" s="1037"/>
      <c r="AF764" s="1037"/>
      <c r="AG764" s="1037"/>
      <c r="AH764" s="1037"/>
      <c r="AI764" s="1037"/>
      <c r="AJ764" s="1037"/>
      <c r="AK764" s="1037"/>
      <c r="AL764" s="1037"/>
      <c r="AM764" s="1037"/>
      <c r="AN764" s="1037"/>
      <c r="AO764" s="1037"/>
      <c r="AP764" s="1037"/>
    </row>
    <row r="765" spans="1:42" s="226" customFormat="1">
      <c r="A765" s="2060"/>
      <c r="B765" s="1037"/>
      <c r="C765" s="1037"/>
      <c r="D765" s="1037"/>
      <c r="E765" s="1037"/>
      <c r="F765" s="1037"/>
      <c r="G765" s="1037"/>
      <c r="H765" s="1018"/>
      <c r="I765" s="1037"/>
      <c r="J765" s="1037"/>
      <c r="K765" s="1037"/>
      <c r="L765" s="1037"/>
      <c r="M765" s="1037"/>
      <c r="N765" s="1037"/>
      <c r="O765" s="1037"/>
      <c r="P765" s="1037"/>
      <c r="Q765" s="1037"/>
      <c r="R765" s="1037"/>
      <c r="S765" s="1037"/>
      <c r="T765" s="1037"/>
      <c r="U765" s="1037"/>
      <c r="V765" s="1037"/>
      <c r="W765" s="1037"/>
      <c r="X765" s="1037"/>
      <c r="Y765" s="1037"/>
      <c r="Z765" s="1037"/>
      <c r="AA765" s="1037"/>
      <c r="AB765" s="1037"/>
      <c r="AC765" s="1037"/>
      <c r="AD765" s="1037"/>
      <c r="AE765" s="1037"/>
      <c r="AF765" s="1037"/>
      <c r="AG765" s="1037"/>
      <c r="AH765" s="1037"/>
      <c r="AI765" s="1037"/>
      <c r="AJ765" s="1037"/>
      <c r="AK765" s="1037"/>
      <c r="AL765" s="1037"/>
      <c r="AM765" s="1037"/>
      <c r="AN765" s="1037"/>
      <c r="AO765" s="1037"/>
      <c r="AP765" s="1037"/>
    </row>
    <row r="766" spans="1:42" s="226" customFormat="1">
      <c r="A766" s="2060"/>
      <c r="B766" s="1037"/>
      <c r="C766" s="1037"/>
      <c r="D766" s="1037"/>
      <c r="E766" s="1037"/>
      <c r="F766" s="1037"/>
      <c r="G766" s="1037"/>
      <c r="H766" s="1018"/>
      <c r="I766" s="1037"/>
      <c r="J766" s="1037"/>
      <c r="K766" s="1037"/>
      <c r="L766" s="1037"/>
      <c r="M766" s="1037"/>
      <c r="N766" s="1037"/>
      <c r="O766" s="1037"/>
      <c r="P766" s="1037"/>
      <c r="Q766" s="1037"/>
      <c r="R766" s="1037"/>
      <c r="S766" s="1037"/>
      <c r="T766" s="1037"/>
      <c r="U766" s="1037"/>
      <c r="V766" s="1037"/>
      <c r="W766" s="1037"/>
      <c r="X766" s="1037"/>
      <c r="Y766" s="1037"/>
      <c r="Z766" s="1037"/>
      <c r="AA766" s="1037"/>
      <c r="AB766" s="1037"/>
      <c r="AC766" s="1037"/>
      <c r="AD766" s="1037"/>
      <c r="AE766" s="1037"/>
      <c r="AF766" s="1037"/>
      <c r="AG766" s="1037"/>
      <c r="AH766" s="1037"/>
      <c r="AI766" s="1037"/>
      <c r="AJ766" s="1037"/>
      <c r="AK766" s="1037"/>
      <c r="AL766" s="1037"/>
      <c r="AM766" s="1037"/>
      <c r="AN766" s="1037"/>
      <c r="AO766" s="1037"/>
      <c r="AP766" s="1037"/>
    </row>
    <row r="767" spans="1:42" s="226" customFormat="1">
      <c r="A767" s="2060"/>
      <c r="B767" s="1037"/>
      <c r="C767" s="1037"/>
      <c r="D767" s="1037"/>
      <c r="E767" s="1037"/>
      <c r="F767" s="1037"/>
      <c r="G767" s="1037"/>
      <c r="H767" s="1018"/>
      <c r="I767" s="1037"/>
      <c r="J767" s="1037"/>
      <c r="K767" s="1037"/>
      <c r="L767" s="1037"/>
      <c r="M767" s="1037"/>
      <c r="N767" s="1037"/>
      <c r="O767" s="1037"/>
      <c r="P767" s="1037"/>
      <c r="Q767" s="1037"/>
      <c r="R767" s="1037"/>
      <c r="S767" s="1037"/>
      <c r="T767" s="1037"/>
      <c r="U767" s="1037"/>
      <c r="V767" s="1037"/>
      <c r="W767" s="1037"/>
      <c r="X767" s="1037"/>
      <c r="Y767" s="1037"/>
      <c r="Z767" s="1037"/>
      <c r="AA767" s="1037"/>
      <c r="AB767" s="1037"/>
      <c r="AC767" s="1037"/>
      <c r="AD767" s="1037"/>
      <c r="AE767" s="1037"/>
      <c r="AF767" s="1037"/>
      <c r="AG767" s="1037"/>
      <c r="AH767" s="1037"/>
      <c r="AI767" s="1037"/>
      <c r="AJ767" s="1037"/>
      <c r="AK767" s="1037"/>
      <c r="AL767" s="1037"/>
      <c r="AM767" s="1037"/>
      <c r="AN767" s="1037"/>
      <c r="AO767" s="1037"/>
      <c r="AP767" s="1037"/>
    </row>
    <row r="768" spans="1:42" s="226" customFormat="1">
      <c r="A768" s="2060"/>
      <c r="B768" s="1037"/>
      <c r="C768" s="1037"/>
      <c r="D768" s="1037"/>
      <c r="E768" s="1037"/>
      <c r="F768" s="1037"/>
      <c r="G768" s="1037"/>
      <c r="H768" s="1018"/>
      <c r="I768" s="1037"/>
      <c r="J768" s="1037"/>
      <c r="K768" s="1037"/>
      <c r="L768" s="1037"/>
      <c r="M768" s="1037"/>
      <c r="N768" s="1037"/>
      <c r="O768" s="1037"/>
      <c r="P768" s="1037"/>
      <c r="Q768" s="1037"/>
      <c r="R768" s="1037"/>
      <c r="S768" s="1037"/>
      <c r="T768" s="1037"/>
      <c r="U768" s="1037"/>
      <c r="V768" s="1037"/>
      <c r="W768" s="1037"/>
      <c r="X768" s="1037"/>
      <c r="Y768" s="1037"/>
      <c r="Z768" s="1037"/>
      <c r="AA768" s="1037"/>
      <c r="AB768" s="1037"/>
      <c r="AC768" s="1037"/>
      <c r="AD768" s="1037"/>
      <c r="AE768" s="1037"/>
      <c r="AF768" s="1037"/>
      <c r="AG768" s="1037"/>
      <c r="AH768" s="1037"/>
      <c r="AI768" s="1037"/>
      <c r="AJ768" s="1037"/>
      <c r="AK768" s="1037"/>
      <c r="AL768" s="1037"/>
      <c r="AM768" s="1037"/>
      <c r="AN768" s="1037"/>
      <c r="AO768" s="1037"/>
      <c r="AP768" s="1037"/>
    </row>
    <row r="769" spans="1:42" s="226" customFormat="1">
      <c r="A769" s="2060"/>
      <c r="B769" s="1037"/>
      <c r="C769" s="1037"/>
      <c r="D769" s="1037"/>
      <c r="E769" s="1037"/>
      <c r="F769" s="1037"/>
      <c r="G769" s="1037"/>
      <c r="H769" s="1018"/>
      <c r="I769" s="1037"/>
      <c r="J769" s="1037"/>
      <c r="K769" s="1037"/>
      <c r="L769" s="1037"/>
      <c r="M769" s="1037"/>
      <c r="N769" s="1037"/>
      <c r="O769" s="1037"/>
      <c r="P769" s="1037"/>
      <c r="Q769" s="1037"/>
      <c r="R769" s="1037"/>
      <c r="S769" s="1037"/>
      <c r="T769" s="1037"/>
      <c r="U769" s="1037"/>
      <c r="V769" s="1037"/>
      <c r="W769" s="1037"/>
      <c r="X769" s="1037"/>
      <c r="Y769" s="1037"/>
      <c r="Z769" s="1037"/>
      <c r="AA769" s="1037"/>
      <c r="AB769" s="1037"/>
      <c r="AC769" s="1037"/>
      <c r="AD769" s="1037"/>
      <c r="AE769" s="1037"/>
      <c r="AF769" s="1037"/>
      <c r="AG769" s="1037"/>
      <c r="AH769" s="1037"/>
      <c r="AI769" s="1037"/>
      <c r="AJ769" s="1037"/>
      <c r="AK769" s="1037"/>
      <c r="AL769" s="1037"/>
      <c r="AM769" s="1037"/>
      <c r="AN769" s="1037"/>
      <c r="AO769" s="1037"/>
      <c r="AP769" s="1037"/>
    </row>
    <row r="770" spans="1:42" s="226" customFormat="1">
      <c r="A770" s="2060"/>
      <c r="B770" s="1037"/>
      <c r="C770" s="1037"/>
      <c r="D770" s="1037"/>
      <c r="E770" s="1037"/>
      <c r="F770" s="1037"/>
      <c r="G770" s="1037"/>
      <c r="H770" s="1018"/>
      <c r="I770" s="1037"/>
      <c r="J770" s="1037"/>
      <c r="K770" s="1037"/>
      <c r="L770" s="1037"/>
      <c r="M770" s="1037"/>
      <c r="N770" s="1037"/>
      <c r="O770" s="1037"/>
      <c r="P770" s="1037"/>
      <c r="Q770" s="1037"/>
      <c r="R770" s="1037"/>
      <c r="S770" s="1037"/>
      <c r="T770" s="1037"/>
      <c r="U770" s="1037"/>
      <c r="V770" s="1037"/>
      <c r="W770" s="1037"/>
      <c r="X770" s="1037"/>
      <c r="Y770" s="1037"/>
      <c r="Z770" s="1037"/>
      <c r="AA770" s="1037"/>
      <c r="AB770" s="1037"/>
      <c r="AC770" s="1037"/>
      <c r="AD770" s="1037"/>
      <c r="AE770" s="1037"/>
      <c r="AF770" s="1037"/>
      <c r="AG770" s="1037"/>
      <c r="AH770" s="1037"/>
      <c r="AI770" s="1037"/>
      <c r="AJ770" s="1037"/>
      <c r="AK770" s="1037"/>
      <c r="AL770" s="1037"/>
      <c r="AM770" s="1037"/>
      <c r="AN770" s="1037"/>
      <c r="AO770" s="1037"/>
      <c r="AP770" s="1037"/>
    </row>
    <row r="771" spans="1:42" s="226" customFormat="1">
      <c r="A771" s="2060"/>
      <c r="B771" s="1037"/>
      <c r="C771" s="1037"/>
      <c r="D771" s="1037"/>
      <c r="E771" s="1037"/>
      <c r="F771" s="1037"/>
      <c r="G771" s="1037"/>
      <c r="H771" s="1018"/>
      <c r="I771" s="1037"/>
      <c r="J771" s="1037"/>
      <c r="K771" s="1037"/>
      <c r="L771" s="1037"/>
      <c r="M771" s="1037"/>
      <c r="N771" s="1037"/>
      <c r="O771" s="1037"/>
      <c r="P771" s="1037"/>
      <c r="Q771" s="1037"/>
      <c r="R771" s="1037"/>
      <c r="S771" s="1037"/>
      <c r="T771" s="1037"/>
      <c r="U771" s="1037"/>
      <c r="V771" s="1037"/>
      <c r="W771" s="1037"/>
      <c r="X771" s="1037"/>
      <c r="Y771" s="1037"/>
      <c r="Z771" s="1037"/>
      <c r="AA771" s="1037"/>
      <c r="AB771" s="1037"/>
      <c r="AC771" s="1037"/>
      <c r="AD771" s="1037"/>
      <c r="AE771" s="1037"/>
      <c r="AF771" s="1037"/>
      <c r="AG771" s="1037"/>
      <c r="AH771" s="1037"/>
      <c r="AI771" s="1037"/>
      <c r="AJ771" s="1037"/>
      <c r="AK771" s="1037"/>
      <c r="AL771" s="1037"/>
      <c r="AM771" s="1037"/>
      <c r="AN771" s="1037"/>
      <c r="AO771" s="1037"/>
      <c r="AP771" s="1037"/>
    </row>
    <row r="772" spans="1:42" s="226" customFormat="1">
      <c r="A772" s="2060"/>
      <c r="B772" s="1037"/>
      <c r="C772" s="1037"/>
      <c r="D772" s="1037"/>
      <c r="E772" s="1037"/>
      <c r="F772" s="1037"/>
      <c r="G772" s="1037"/>
      <c r="H772" s="1018"/>
      <c r="I772" s="1037"/>
      <c r="J772" s="1037"/>
      <c r="K772" s="1037"/>
      <c r="L772" s="1037"/>
      <c r="M772" s="1037"/>
      <c r="N772" s="1037"/>
      <c r="O772" s="1037"/>
      <c r="P772" s="1037"/>
      <c r="Q772" s="1037"/>
      <c r="R772" s="1037"/>
      <c r="S772" s="1037"/>
      <c r="T772" s="1037"/>
      <c r="U772" s="1037"/>
      <c r="V772" s="1037"/>
      <c r="W772" s="1037"/>
      <c r="X772" s="1037"/>
      <c r="Y772" s="1037"/>
      <c r="Z772" s="1037"/>
      <c r="AA772" s="1037"/>
      <c r="AB772" s="1037"/>
      <c r="AC772" s="1037"/>
      <c r="AD772" s="1037"/>
      <c r="AE772" s="1037"/>
      <c r="AF772" s="1037"/>
      <c r="AG772" s="1037"/>
      <c r="AH772" s="1037"/>
      <c r="AI772" s="1037"/>
      <c r="AJ772" s="1037"/>
      <c r="AK772" s="1037"/>
      <c r="AL772" s="1037"/>
      <c r="AM772" s="1037"/>
      <c r="AN772" s="1037"/>
      <c r="AO772" s="1037"/>
      <c r="AP772" s="1037"/>
    </row>
    <row r="773" spans="1:42" s="226" customFormat="1">
      <c r="A773" s="2060"/>
      <c r="B773" s="1037"/>
      <c r="C773" s="1037"/>
      <c r="D773" s="1037"/>
      <c r="E773" s="1037"/>
      <c r="F773" s="1037"/>
      <c r="G773" s="1037"/>
      <c r="H773" s="1018"/>
      <c r="I773" s="1037"/>
      <c r="J773" s="1037"/>
      <c r="K773" s="1037"/>
      <c r="L773" s="1037"/>
      <c r="M773" s="1037"/>
      <c r="N773" s="1037"/>
      <c r="O773" s="1037"/>
      <c r="P773" s="1037"/>
      <c r="Q773" s="1037"/>
      <c r="R773" s="1037"/>
      <c r="S773" s="1037"/>
      <c r="T773" s="1037"/>
      <c r="U773" s="1037"/>
      <c r="V773" s="1037"/>
      <c r="W773" s="1037"/>
      <c r="X773" s="1037"/>
      <c r="Y773" s="1037"/>
      <c r="Z773" s="1037"/>
      <c r="AA773" s="1037"/>
      <c r="AB773" s="1037"/>
      <c r="AC773" s="1037"/>
      <c r="AD773" s="1037"/>
      <c r="AE773" s="1037"/>
      <c r="AF773" s="1037"/>
      <c r="AG773" s="1037"/>
      <c r="AH773" s="1037"/>
      <c r="AI773" s="1037"/>
      <c r="AJ773" s="1037"/>
      <c r="AK773" s="1037"/>
      <c r="AL773" s="1037"/>
      <c r="AM773" s="1037"/>
      <c r="AN773" s="1037"/>
      <c r="AO773" s="1037"/>
      <c r="AP773" s="1037"/>
    </row>
    <row r="774" spans="1:42" s="226" customFormat="1">
      <c r="A774" s="2060"/>
      <c r="B774" s="1037"/>
      <c r="C774" s="1037"/>
      <c r="D774" s="1037"/>
      <c r="E774" s="1037"/>
      <c r="F774" s="1037"/>
      <c r="G774" s="1037"/>
      <c r="H774" s="1018"/>
      <c r="I774" s="1037"/>
      <c r="J774" s="1037"/>
      <c r="K774" s="1037"/>
      <c r="L774" s="1037"/>
      <c r="M774" s="1037"/>
      <c r="N774" s="1037"/>
      <c r="O774" s="1037"/>
      <c r="P774" s="1037"/>
      <c r="Q774" s="1037"/>
      <c r="R774" s="1037"/>
      <c r="S774" s="1037"/>
      <c r="T774" s="1037"/>
      <c r="U774" s="1037"/>
      <c r="V774" s="1037"/>
      <c r="W774" s="1037"/>
      <c r="X774" s="1037"/>
      <c r="Y774" s="1037"/>
      <c r="Z774" s="1037"/>
      <c r="AA774" s="1037"/>
      <c r="AB774" s="1037"/>
      <c r="AC774" s="1037"/>
      <c r="AD774" s="1037"/>
      <c r="AE774" s="1037"/>
      <c r="AF774" s="1037"/>
      <c r="AG774" s="1037"/>
      <c r="AH774" s="1037"/>
      <c r="AI774" s="1037"/>
      <c r="AJ774" s="1037"/>
      <c r="AK774" s="1037"/>
      <c r="AL774" s="1037"/>
      <c r="AM774" s="1037"/>
      <c r="AN774" s="1037"/>
      <c r="AO774" s="1037"/>
      <c r="AP774" s="1037"/>
    </row>
    <row r="775" spans="1:42" s="226" customFormat="1">
      <c r="A775" s="2060"/>
      <c r="B775" s="1037"/>
      <c r="C775" s="1037"/>
      <c r="D775" s="1037"/>
      <c r="E775" s="1037"/>
      <c r="F775" s="1037"/>
      <c r="G775" s="1037"/>
      <c r="H775" s="1018"/>
      <c r="I775" s="1037"/>
      <c r="J775" s="1037"/>
      <c r="K775" s="1037"/>
      <c r="L775" s="1037"/>
      <c r="M775" s="1037"/>
      <c r="N775" s="1037"/>
      <c r="O775" s="1037"/>
      <c r="P775" s="1037"/>
      <c r="Q775" s="1037"/>
      <c r="R775" s="1037"/>
      <c r="S775" s="1037"/>
      <c r="T775" s="1037"/>
      <c r="U775" s="1037"/>
      <c r="V775" s="1037"/>
      <c r="W775" s="1037"/>
      <c r="X775" s="1037"/>
      <c r="Y775" s="1037"/>
      <c r="Z775" s="1037"/>
      <c r="AA775" s="1037"/>
      <c r="AB775" s="1037"/>
      <c r="AC775" s="1037"/>
      <c r="AD775" s="1037"/>
      <c r="AE775" s="1037"/>
      <c r="AF775" s="1037"/>
      <c r="AG775" s="1037"/>
      <c r="AH775" s="1037"/>
      <c r="AI775" s="1037"/>
      <c r="AJ775" s="1037"/>
      <c r="AK775" s="1037"/>
      <c r="AL775" s="1037"/>
      <c r="AM775" s="1037"/>
      <c r="AN775" s="1037"/>
      <c r="AO775" s="1037"/>
      <c r="AP775" s="1037"/>
    </row>
    <row r="776" spans="1:42" s="226" customFormat="1">
      <c r="A776" s="2060"/>
      <c r="B776" s="1037"/>
      <c r="C776" s="1037"/>
      <c r="D776" s="1037"/>
      <c r="E776" s="1037"/>
      <c r="F776" s="1037"/>
      <c r="G776" s="1037"/>
      <c r="H776" s="1018"/>
      <c r="I776" s="1037"/>
      <c r="J776" s="1037"/>
      <c r="K776" s="1037"/>
      <c r="L776" s="1037"/>
      <c r="M776" s="1037"/>
      <c r="N776" s="1037"/>
      <c r="O776" s="1037"/>
      <c r="P776" s="1037"/>
      <c r="Q776" s="1037"/>
      <c r="R776" s="1037"/>
      <c r="S776" s="1037"/>
      <c r="T776" s="1037"/>
      <c r="U776" s="1037"/>
      <c r="V776" s="1037"/>
      <c r="W776" s="1037"/>
      <c r="X776" s="1037"/>
      <c r="Y776" s="1037"/>
      <c r="Z776" s="1037"/>
      <c r="AA776" s="1037"/>
      <c r="AB776" s="1037"/>
      <c r="AC776" s="1037"/>
      <c r="AD776" s="1037"/>
      <c r="AE776" s="1037"/>
      <c r="AF776" s="1037"/>
      <c r="AG776" s="1037"/>
      <c r="AH776" s="1037"/>
      <c r="AI776" s="1037"/>
      <c r="AJ776" s="1037"/>
      <c r="AK776" s="1037"/>
      <c r="AL776" s="1037"/>
      <c r="AM776" s="1037"/>
      <c r="AN776" s="1037"/>
      <c r="AO776" s="1037"/>
      <c r="AP776" s="1037"/>
    </row>
    <row r="777" spans="1:42" s="226" customFormat="1">
      <c r="A777" s="2060"/>
      <c r="B777" s="1037"/>
      <c r="C777" s="1037"/>
      <c r="D777" s="1037"/>
      <c r="E777" s="1037"/>
      <c r="F777" s="1037"/>
      <c r="G777" s="1037"/>
      <c r="H777" s="1018"/>
      <c r="I777" s="1037"/>
      <c r="J777" s="1037"/>
      <c r="K777" s="1037"/>
      <c r="L777" s="1037"/>
      <c r="M777" s="1037"/>
      <c r="N777" s="1037"/>
      <c r="O777" s="1037"/>
      <c r="P777" s="1037"/>
      <c r="Q777" s="1037"/>
      <c r="R777" s="1037"/>
      <c r="S777" s="1037"/>
      <c r="T777" s="1037"/>
      <c r="U777" s="1037"/>
      <c r="V777" s="1037"/>
      <c r="W777" s="1037"/>
      <c r="X777" s="1037"/>
      <c r="Y777" s="1037"/>
      <c r="Z777" s="1037"/>
      <c r="AA777" s="1037"/>
      <c r="AB777" s="1037"/>
      <c r="AC777" s="1037"/>
      <c r="AD777" s="1037"/>
      <c r="AE777" s="1037"/>
      <c r="AF777" s="1037"/>
      <c r="AG777" s="1037"/>
      <c r="AH777" s="1037"/>
      <c r="AI777" s="1037"/>
      <c r="AJ777" s="1037"/>
      <c r="AK777" s="1037"/>
      <c r="AL777" s="1037"/>
      <c r="AM777" s="1037"/>
      <c r="AN777" s="1037"/>
      <c r="AO777" s="1037"/>
      <c r="AP777" s="1037"/>
    </row>
    <row r="778" spans="1:42" s="226" customFormat="1">
      <c r="A778" s="2060"/>
      <c r="B778" s="1037"/>
      <c r="C778" s="1037"/>
      <c r="D778" s="1037"/>
      <c r="E778" s="1037"/>
      <c r="F778" s="1037"/>
      <c r="G778" s="1037"/>
      <c r="H778" s="1018"/>
      <c r="I778" s="1037"/>
      <c r="J778" s="1037"/>
      <c r="K778" s="1037"/>
      <c r="L778" s="1037"/>
      <c r="M778" s="1037"/>
      <c r="N778" s="1037"/>
      <c r="O778" s="1037"/>
      <c r="P778" s="1037"/>
      <c r="Q778" s="1037"/>
      <c r="R778" s="1037"/>
      <c r="S778" s="1037"/>
      <c r="T778" s="1037"/>
      <c r="U778" s="1037"/>
      <c r="V778" s="1037"/>
      <c r="W778" s="1037"/>
      <c r="X778" s="1037"/>
      <c r="Y778" s="1037"/>
      <c r="Z778" s="1037"/>
      <c r="AA778" s="1037"/>
      <c r="AB778" s="1037"/>
      <c r="AC778" s="1037"/>
      <c r="AD778" s="1037"/>
      <c r="AE778" s="1037"/>
      <c r="AF778" s="1037"/>
      <c r="AG778" s="1037"/>
      <c r="AH778" s="1037"/>
      <c r="AI778" s="1037"/>
      <c r="AJ778" s="1037"/>
      <c r="AK778" s="1037"/>
      <c r="AL778" s="1037"/>
      <c r="AM778" s="1037"/>
      <c r="AN778" s="1037"/>
      <c r="AO778" s="1037"/>
      <c r="AP778" s="1037"/>
    </row>
    <row r="779" spans="1:42" s="226" customFormat="1">
      <c r="A779" s="2060"/>
      <c r="B779" s="1037"/>
      <c r="C779" s="1037"/>
      <c r="D779" s="1037"/>
      <c r="E779" s="1037"/>
      <c r="F779" s="1037"/>
      <c r="G779" s="1037"/>
      <c r="H779" s="1018"/>
      <c r="I779" s="1037"/>
      <c r="J779" s="1037"/>
      <c r="K779" s="1037"/>
      <c r="L779" s="1037"/>
      <c r="M779" s="1037"/>
      <c r="N779" s="1037"/>
      <c r="O779" s="1037"/>
      <c r="P779" s="1037"/>
      <c r="Q779" s="1037"/>
      <c r="R779" s="1037"/>
      <c r="S779" s="1037"/>
      <c r="T779" s="1037"/>
      <c r="U779" s="1037"/>
      <c r="V779" s="1037"/>
      <c r="W779" s="1037"/>
      <c r="X779" s="1037"/>
      <c r="Y779" s="1037"/>
      <c r="Z779" s="1037"/>
      <c r="AA779" s="1037"/>
      <c r="AB779" s="1037"/>
      <c r="AC779" s="1037"/>
      <c r="AD779" s="1037"/>
      <c r="AE779" s="1037"/>
      <c r="AF779" s="1037"/>
      <c r="AG779" s="1037"/>
      <c r="AH779" s="1037"/>
      <c r="AI779" s="1037"/>
      <c r="AJ779" s="1037"/>
      <c r="AK779" s="1037"/>
      <c r="AL779" s="1037"/>
      <c r="AM779" s="1037"/>
      <c r="AN779" s="1037"/>
      <c r="AO779" s="1037"/>
      <c r="AP779" s="1037"/>
    </row>
    <row r="780" spans="1:42" s="226" customFormat="1">
      <c r="A780" s="2060"/>
      <c r="B780" s="1037"/>
      <c r="C780" s="1037"/>
      <c r="D780" s="1037"/>
      <c r="E780" s="1037"/>
      <c r="F780" s="1037"/>
      <c r="G780" s="1037"/>
      <c r="H780" s="1018"/>
      <c r="I780" s="1037"/>
      <c r="J780" s="1037"/>
      <c r="K780" s="1037"/>
      <c r="L780" s="1037"/>
      <c r="M780" s="1037"/>
      <c r="N780" s="1037"/>
      <c r="O780" s="1037"/>
      <c r="P780" s="1037"/>
      <c r="Q780" s="1037"/>
      <c r="R780" s="1037"/>
      <c r="S780" s="1037"/>
      <c r="T780" s="1037"/>
      <c r="U780" s="1037"/>
      <c r="V780" s="1037"/>
      <c r="W780" s="1037"/>
      <c r="X780" s="1037"/>
      <c r="Y780" s="1037"/>
      <c r="Z780" s="1037"/>
      <c r="AA780" s="1037"/>
      <c r="AB780" s="1037"/>
      <c r="AC780" s="1037"/>
      <c r="AD780" s="1037"/>
      <c r="AE780" s="1037"/>
      <c r="AF780" s="1037"/>
      <c r="AG780" s="1037"/>
      <c r="AH780" s="1037"/>
      <c r="AI780" s="1037"/>
      <c r="AJ780" s="1037"/>
      <c r="AK780" s="1037"/>
      <c r="AL780" s="1037"/>
      <c r="AM780" s="1037"/>
      <c r="AN780" s="1037"/>
      <c r="AO780" s="1037"/>
      <c r="AP780" s="1037"/>
    </row>
    <row r="781" spans="1:42" s="226" customFormat="1">
      <c r="A781" s="2060"/>
      <c r="B781" s="1037"/>
      <c r="C781" s="1037"/>
      <c r="D781" s="1037"/>
      <c r="E781" s="1037"/>
      <c r="F781" s="1037"/>
      <c r="G781" s="1037"/>
      <c r="H781" s="1018"/>
      <c r="I781" s="1037"/>
      <c r="J781" s="1037"/>
      <c r="K781" s="1037"/>
      <c r="L781" s="1037"/>
      <c r="M781" s="1037"/>
      <c r="N781" s="1037"/>
      <c r="O781" s="1037"/>
      <c r="P781" s="1037"/>
      <c r="Q781" s="1037"/>
      <c r="R781" s="1037"/>
      <c r="S781" s="1037"/>
      <c r="T781" s="1037"/>
      <c r="U781" s="1037"/>
      <c r="V781" s="1037"/>
      <c r="W781" s="1037"/>
      <c r="X781" s="1037"/>
      <c r="Y781" s="1037"/>
      <c r="Z781" s="1037"/>
      <c r="AA781" s="1037"/>
      <c r="AB781" s="1037"/>
      <c r="AC781" s="1037"/>
      <c r="AD781" s="1037"/>
      <c r="AE781" s="1037"/>
      <c r="AF781" s="1037"/>
      <c r="AG781" s="1037"/>
      <c r="AH781" s="1037"/>
      <c r="AI781" s="1037"/>
      <c r="AJ781" s="1037"/>
      <c r="AK781" s="1037"/>
      <c r="AL781" s="1037"/>
      <c r="AM781" s="1037"/>
      <c r="AN781" s="1037"/>
      <c r="AO781" s="1037"/>
      <c r="AP781" s="1037"/>
    </row>
    <row r="782" spans="1:42" s="226" customFormat="1">
      <c r="A782" s="2060"/>
      <c r="B782" s="1037"/>
      <c r="C782" s="1037"/>
      <c r="D782" s="1037"/>
      <c r="E782" s="1037"/>
      <c r="F782" s="1037"/>
      <c r="G782" s="1037"/>
      <c r="H782" s="1018"/>
      <c r="I782" s="1037"/>
      <c r="J782" s="1037"/>
      <c r="K782" s="1037"/>
      <c r="L782" s="1037"/>
      <c r="M782" s="1037"/>
      <c r="N782" s="1037"/>
      <c r="O782" s="1037"/>
      <c r="P782" s="1037"/>
      <c r="Q782" s="1037"/>
      <c r="R782" s="1037"/>
      <c r="S782" s="1037"/>
      <c r="T782" s="1037"/>
      <c r="U782" s="1037"/>
      <c r="V782" s="1037"/>
      <c r="W782" s="1037"/>
      <c r="X782" s="1037"/>
      <c r="Y782" s="1037"/>
      <c r="Z782" s="1037"/>
      <c r="AA782" s="1037"/>
      <c r="AB782" s="1037"/>
      <c r="AC782" s="1037"/>
      <c r="AD782" s="1037"/>
      <c r="AE782" s="1037"/>
      <c r="AF782" s="1037"/>
      <c r="AG782" s="1037"/>
      <c r="AH782" s="1037"/>
      <c r="AI782" s="1037"/>
      <c r="AJ782" s="1037"/>
      <c r="AK782" s="1037"/>
      <c r="AL782" s="1037"/>
      <c r="AM782" s="1037"/>
      <c r="AN782" s="1037"/>
      <c r="AO782" s="1037"/>
      <c r="AP782" s="1037"/>
    </row>
    <row r="783" spans="1:42" s="226" customFormat="1">
      <c r="A783" s="2060"/>
      <c r="B783" s="1037"/>
      <c r="C783" s="1037"/>
      <c r="D783" s="1037"/>
      <c r="E783" s="1037"/>
      <c r="F783" s="1037"/>
      <c r="G783" s="1037"/>
      <c r="H783" s="1018"/>
      <c r="I783" s="1037"/>
      <c r="J783" s="1037"/>
      <c r="K783" s="1037"/>
      <c r="L783" s="1037"/>
      <c r="M783" s="1037"/>
      <c r="N783" s="1037"/>
      <c r="O783" s="1037"/>
      <c r="P783" s="1037"/>
      <c r="Q783" s="1037"/>
      <c r="R783" s="1037"/>
      <c r="S783" s="1037"/>
      <c r="T783" s="1037"/>
      <c r="U783" s="1037"/>
      <c r="V783" s="1037"/>
      <c r="W783" s="1037"/>
      <c r="X783" s="1037"/>
      <c r="Y783" s="1037"/>
      <c r="Z783" s="1037"/>
      <c r="AA783" s="1037"/>
      <c r="AB783" s="1037"/>
      <c r="AC783" s="1037"/>
      <c r="AD783" s="1037"/>
      <c r="AE783" s="1037"/>
      <c r="AF783" s="1037"/>
      <c r="AG783" s="1037"/>
      <c r="AH783" s="1037"/>
      <c r="AI783" s="1037"/>
      <c r="AJ783" s="1037"/>
      <c r="AK783" s="1037"/>
      <c r="AL783" s="1037"/>
      <c r="AM783" s="1037"/>
      <c r="AN783" s="1037"/>
      <c r="AO783" s="1037"/>
      <c r="AP783" s="1037"/>
    </row>
    <row r="784" spans="1:42" s="226" customFormat="1">
      <c r="A784" s="2060"/>
      <c r="B784" s="1037"/>
      <c r="C784" s="1037"/>
      <c r="D784" s="1037"/>
      <c r="E784" s="1037"/>
      <c r="F784" s="1037"/>
      <c r="G784" s="1037"/>
      <c r="H784" s="1018"/>
      <c r="I784" s="1037"/>
      <c r="J784" s="1037"/>
      <c r="K784" s="1037"/>
      <c r="L784" s="1037"/>
      <c r="M784" s="1037"/>
      <c r="N784" s="1037"/>
      <c r="O784" s="1037"/>
      <c r="P784" s="1037"/>
      <c r="Q784" s="1037"/>
      <c r="R784" s="1037"/>
      <c r="S784" s="1037"/>
      <c r="T784" s="1037"/>
      <c r="U784" s="1037"/>
      <c r="V784" s="1037"/>
      <c r="W784" s="1037"/>
      <c r="X784" s="1037"/>
      <c r="Y784" s="1037"/>
      <c r="Z784" s="1037"/>
      <c r="AA784" s="1037"/>
      <c r="AB784" s="1037"/>
      <c r="AC784" s="1037"/>
      <c r="AD784" s="1037"/>
      <c r="AE784" s="1037"/>
      <c r="AF784" s="1037"/>
      <c r="AG784" s="1037"/>
      <c r="AH784" s="1037"/>
      <c r="AI784" s="1037"/>
      <c r="AJ784" s="1037"/>
      <c r="AK784" s="1037"/>
      <c r="AL784" s="1037"/>
      <c r="AM784" s="1037"/>
      <c r="AN784" s="1037"/>
      <c r="AO784" s="1037"/>
      <c r="AP784" s="1037"/>
    </row>
    <row r="785" spans="1:42" s="226" customFormat="1">
      <c r="A785" s="2060"/>
      <c r="B785" s="1037"/>
      <c r="C785" s="1037"/>
      <c r="D785" s="1037"/>
      <c r="E785" s="1037"/>
      <c r="F785" s="1037"/>
      <c r="G785" s="1037"/>
      <c r="H785" s="1018"/>
      <c r="I785" s="1037"/>
      <c r="J785" s="1037"/>
      <c r="K785" s="1037"/>
      <c r="L785" s="1037"/>
      <c r="M785" s="1037"/>
      <c r="N785" s="1037"/>
      <c r="O785" s="1037"/>
      <c r="P785" s="1037"/>
      <c r="Q785" s="1037"/>
      <c r="R785" s="1037"/>
      <c r="S785" s="1037"/>
      <c r="T785" s="1037"/>
      <c r="U785" s="1037"/>
      <c r="V785" s="1037"/>
      <c r="W785" s="1037"/>
      <c r="X785" s="1037"/>
      <c r="Y785" s="1037"/>
      <c r="Z785" s="1037"/>
      <c r="AA785" s="1037"/>
      <c r="AB785" s="1037"/>
      <c r="AC785" s="1037"/>
      <c r="AD785" s="1037"/>
      <c r="AE785" s="1037"/>
      <c r="AF785" s="1037"/>
      <c r="AG785" s="1037"/>
      <c r="AH785" s="1037"/>
      <c r="AI785" s="1037"/>
      <c r="AJ785" s="1037"/>
      <c r="AK785" s="1037"/>
      <c r="AL785" s="1037"/>
      <c r="AM785" s="1037"/>
      <c r="AN785" s="1037"/>
      <c r="AO785" s="1037"/>
      <c r="AP785" s="1037"/>
    </row>
    <row r="786" spans="1:42" s="226" customFormat="1">
      <c r="A786" s="2060"/>
      <c r="B786" s="1037"/>
      <c r="C786" s="1037"/>
      <c r="D786" s="1037"/>
      <c r="E786" s="1037"/>
      <c r="F786" s="1037"/>
      <c r="G786" s="1037"/>
      <c r="H786" s="1018"/>
      <c r="I786" s="1037"/>
      <c r="J786" s="1037"/>
      <c r="K786" s="1037"/>
      <c r="L786" s="1037"/>
      <c r="M786" s="1037"/>
      <c r="N786" s="1037"/>
      <c r="O786" s="1037"/>
      <c r="P786" s="1037"/>
      <c r="Q786" s="1037"/>
      <c r="R786" s="1037"/>
      <c r="S786" s="1037"/>
      <c r="T786" s="1037"/>
      <c r="U786" s="1037"/>
      <c r="V786" s="1037"/>
      <c r="W786" s="1037"/>
      <c r="X786" s="1037"/>
      <c r="Y786" s="1037"/>
      <c r="Z786" s="1037"/>
      <c r="AA786" s="1037"/>
      <c r="AB786" s="1037"/>
      <c r="AC786" s="1037"/>
      <c r="AD786" s="1037"/>
      <c r="AE786" s="1037"/>
      <c r="AF786" s="1037"/>
      <c r="AG786" s="1037"/>
      <c r="AH786" s="1037"/>
      <c r="AI786" s="1037"/>
      <c r="AJ786" s="1037"/>
      <c r="AK786" s="1037"/>
      <c r="AL786" s="1037"/>
      <c r="AM786" s="1037"/>
      <c r="AN786" s="1037"/>
      <c r="AO786" s="1037"/>
      <c r="AP786" s="1037"/>
    </row>
    <row r="787" spans="1:42" s="226" customFormat="1">
      <c r="A787" s="2060"/>
      <c r="B787" s="1037"/>
      <c r="C787" s="1037"/>
      <c r="D787" s="1037"/>
      <c r="E787" s="1037"/>
      <c r="F787" s="1037"/>
      <c r="G787" s="1037"/>
      <c r="H787" s="1018"/>
      <c r="I787" s="1037"/>
      <c r="J787" s="1037"/>
      <c r="K787" s="1037"/>
      <c r="L787" s="1037"/>
      <c r="M787" s="1037"/>
      <c r="N787" s="1037"/>
      <c r="O787" s="1037"/>
      <c r="P787" s="1037"/>
      <c r="Q787" s="1037"/>
      <c r="R787" s="1037"/>
      <c r="S787" s="1037"/>
      <c r="T787" s="1037"/>
      <c r="U787" s="1037"/>
      <c r="V787" s="1037"/>
      <c r="W787" s="1037"/>
      <c r="X787" s="1037"/>
      <c r="Y787" s="1037"/>
      <c r="Z787" s="1037"/>
      <c r="AA787" s="1037"/>
      <c r="AB787" s="1037"/>
      <c r="AC787" s="1037"/>
      <c r="AD787" s="1037"/>
      <c r="AE787" s="1037"/>
      <c r="AF787" s="1037"/>
      <c r="AG787" s="1037"/>
      <c r="AH787" s="1037"/>
      <c r="AI787" s="1037"/>
      <c r="AJ787" s="1037"/>
      <c r="AK787" s="1037"/>
      <c r="AL787" s="1037"/>
      <c r="AM787" s="1037"/>
      <c r="AN787" s="1037"/>
      <c r="AO787" s="1037"/>
      <c r="AP787" s="1037"/>
    </row>
    <row r="788" spans="1:42" s="226" customFormat="1">
      <c r="A788" s="2060"/>
      <c r="B788" s="1037"/>
      <c r="C788" s="1037"/>
      <c r="D788" s="1037"/>
      <c r="E788" s="1037"/>
      <c r="F788" s="1037"/>
      <c r="G788" s="1037"/>
      <c r="H788" s="1018"/>
      <c r="I788" s="1037"/>
      <c r="J788" s="1037"/>
      <c r="K788" s="1037"/>
      <c r="L788" s="1037"/>
      <c r="M788" s="1037"/>
      <c r="N788" s="1037"/>
      <c r="O788" s="1037"/>
      <c r="P788" s="1037"/>
      <c r="Q788" s="1037"/>
      <c r="R788" s="1037"/>
      <c r="S788" s="1037"/>
      <c r="T788" s="1037"/>
      <c r="U788" s="1037"/>
      <c r="V788" s="1037"/>
      <c r="W788" s="1037"/>
      <c r="X788" s="1037"/>
      <c r="Y788" s="1037"/>
      <c r="Z788" s="1037"/>
      <c r="AA788" s="1037"/>
      <c r="AB788" s="1037"/>
      <c r="AC788" s="1037"/>
      <c r="AD788" s="1037"/>
      <c r="AE788" s="1037"/>
      <c r="AF788" s="1037"/>
      <c r="AG788" s="1037"/>
      <c r="AH788" s="1037"/>
      <c r="AI788" s="1037"/>
      <c r="AJ788" s="1037"/>
      <c r="AK788" s="1037"/>
      <c r="AL788" s="1037"/>
      <c r="AM788" s="1037"/>
      <c r="AN788" s="1037"/>
      <c r="AO788" s="1037"/>
      <c r="AP788" s="1037"/>
    </row>
    <row r="789" spans="1:42" s="226" customFormat="1">
      <c r="A789" s="2060"/>
      <c r="B789" s="1037"/>
      <c r="C789" s="1037"/>
      <c r="D789" s="1037"/>
      <c r="E789" s="1037"/>
      <c r="F789" s="1037"/>
      <c r="G789" s="1037"/>
      <c r="H789" s="1018"/>
      <c r="I789" s="1037"/>
      <c r="J789" s="1037"/>
      <c r="K789" s="1037"/>
      <c r="L789" s="1037"/>
      <c r="M789" s="1037"/>
      <c r="N789" s="1037"/>
      <c r="O789" s="1037"/>
      <c r="P789" s="1037"/>
      <c r="Q789" s="1037"/>
      <c r="R789" s="1037"/>
      <c r="S789" s="1037"/>
      <c r="T789" s="1037"/>
      <c r="U789" s="1037"/>
      <c r="V789" s="1037"/>
      <c r="W789" s="1037"/>
      <c r="X789" s="1037"/>
      <c r="Y789" s="1037"/>
      <c r="Z789" s="1037"/>
      <c r="AA789" s="1037"/>
      <c r="AB789" s="1037"/>
      <c r="AC789" s="1037"/>
      <c r="AD789" s="1037"/>
      <c r="AE789" s="1037"/>
      <c r="AF789" s="1037"/>
      <c r="AG789" s="1037"/>
      <c r="AH789" s="1037"/>
      <c r="AI789" s="1037"/>
      <c r="AJ789" s="1037"/>
      <c r="AK789" s="1037"/>
      <c r="AL789" s="1037"/>
      <c r="AM789" s="1037"/>
      <c r="AN789" s="1037"/>
      <c r="AO789" s="1037"/>
      <c r="AP789" s="1037"/>
    </row>
    <row r="790" spans="1:42" s="226" customFormat="1">
      <c r="A790" s="2060"/>
      <c r="B790" s="1037"/>
      <c r="C790" s="1037"/>
      <c r="D790" s="1037"/>
      <c r="E790" s="1037"/>
      <c r="F790" s="1037"/>
      <c r="G790" s="1037"/>
      <c r="H790" s="1018"/>
      <c r="I790" s="1037"/>
      <c r="J790" s="1037"/>
      <c r="K790" s="1037"/>
      <c r="L790" s="1037"/>
      <c r="M790" s="1037"/>
      <c r="N790" s="1037"/>
      <c r="O790" s="1037"/>
      <c r="P790" s="1037"/>
      <c r="Q790" s="1037"/>
      <c r="R790" s="1037"/>
      <c r="S790" s="1037"/>
      <c r="T790" s="1037"/>
      <c r="U790" s="1037"/>
      <c r="V790" s="1037"/>
      <c r="W790" s="1037"/>
      <c r="X790" s="1037"/>
      <c r="Y790" s="1037"/>
      <c r="Z790" s="1037"/>
      <c r="AA790" s="1037"/>
      <c r="AB790" s="1037"/>
      <c r="AC790" s="1037"/>
      <c r="AD790" s="1037"/>
      <c r="AE790" s="1037"/>
      <c r="AF790" s="1037"/>
      <c r="AG790" s="1037"/>
      <c r="AH790" s="1037"/>
      <c r="AI790" s="1037"/>
      <c r="AJ790" s="1037"/>
      <c r="AK790" s="1037"/>
      <c r="AL790" s="1037"/>
      <c r="AM790" s="1037"/>
      <c r="AN790" s="1037"/>
      <c r="AO790" s="1037"/>
      <c r="AP790" s="1037"/>
    </row>
    <row r="791" spans="1:42" s="226" customFormat="1">
      <c r="A791" s="2060"/>
      <c r="B791" s="1037"/>
      <c r="C791" s="1037"/>
      <c r="D791" s="1037"/>
      <c r="E791" s="1037"/>
      <c r="F791" s="1037"/>
      <c r="G791" s="1037"/>
      <c r="H791" s="1018"/>
      <c r="I791" s="1037"/>
      <c r="J791" s="1037"/>
      <c r="K791" s="1037"/>
      <c r="L791" s="1037"/>
      <c r="M791" s="1037"/>
      <c r="N791" s="1037"/>
      <c r="O791" s="1037"/>
      <c r="P791" s="1037"/>
      <c r="Q791" s="1037"/>
      <c r="R791" s="1037"/>
      <c r="S791" s="1037"/>
      <c r="T791" s="1037"/>
      <c r="U791" s="1037"/>
      <c r="V791" s="1037"/>
      <c r="W791" s="1037"/>
      <c r="X791" s="1037"/>
      <c r="Y791" s="1037"/>
      <c r="Z791" s="1037"/>
      <c r="AA791" s="1037"/>
      <c r="AB791" s="1037"/>
      <c r="AC791" s="1037"/>
      <c r="AD791" s="1037"/>
      <c r="AE791" s="1037"/>
      <c r="AF791" s="1037"/>
      <c r="AG791" s="1037"/>
      <c r="AH791" s="1037"/>
      <c r="AI791" s="1037"/>
      <c r="AJ791" s="1037"/>
      <c r="AK791" s="1037"/>
      <c r="AL791" s="1037"/>
      <c r="AM791" s="1037"/>
      <c r="AN791" s="1037"/>
      <c r="AO791" s="1037"/>
      <c r="AP791" s="1037"/>
    </row>
    <row r="792" spans="1:42" s="226" customFormat="1">
      <c r="A792" s="2060"/>
      <c r="B792" s="1037"/>
      <c r="C792" s="1037"/>
      <c r="D792" s="1037"/>
      <c r="E792" s="1037"/>
      <c r="F792" s="1037"/>
      <c r="G792" s="1037"/>
      <c r="H792" s="1018"/>
      <c r="I792" s="1037"/>
      <c r="J792" s="1037"/>
      <c r="K792" s="1037"/>
      <c r="L792" s="1037"/>
      <c r="M792" s="1037"/>
      <c r="N792" s="1037"/>
      <c r="O792" s="1037"/>
      <c r="P792" s="1037"/>
      <c r="Q792" s="1037"/>
      <c r="R792" s="1037"/>
      <c r="S792" s="1037"/>
      <c r="T792" s="1037"/>
      <c r="U792" s="1037"/>
      <c r="V792" s="1037"/>
      <c r="W792" s="1037"/>
      <c r="X792" s="1037"/>
      <c r="Y792" s="1037"/>
      <c r="Z792" s="1037"/>
      <c r="AA792" s="1037"/>
      <c r="AB792" s="1037"/>
      <c r="AC792" s="1037"/>
      <c r="AD792" s="1037"/>
      <c r="AE792" s="1037"/>
      <c r="AF792" s="1037"/>
      <c r="AG792" s="1037"/>
      <c r="AH792" s="1037"/>
      <c r="AI792" s="1037"/>
      <c r="AJ792" s="1037"/>
      <c r="AK792" s="1037"/>
      <c r="AL792" s="1037"/>
      <c r="AM792" s="1037"/>
      <c r="AN792" s="1037"/>
      <c r="AO792" s="1037"/>
      <c r="AP792" s="1037"/>
    </row>
    <row r="793" spans="1:42" s="226" customFormat="1">
      <c r="A793" s="2060"/>
      <c r="B793" s="1037"/>
      <c r="C793" s="1037"/>
      <c r="D793" s="1037"/>
      <c r="E793" s="1037"/>
      <c r="F793" s="1037"/>
      <c r="G793" s="1037"/>
      <c r="H793" s="1018"/>
      <c r="I793" s="1037"/>
      <c r="J793" s="1037"/>
      <c r="K793" s="1037"/>
      <c r="L793" s="1037"/>
      <c r="M793" s="1037"/>
      <c r="N793" s="1037"/>
      <c r="O793" s="1037"/>
      <c r="P793" s="1037"/>
      <c r="Q793" s="1037"/>
      <c r="R793" s="1037"/>
      <c r="S793" s="1037"/>
      <c r="T793" s="1037"/>
      <c r="U793" s="1037"/>
      <c r="V793" s="1037"/>
      <c r="W793" s="1037"/>
      <c r="X793" s="1037"/>
      <c r="Y793" s="1037"/>
      <c r="Z793" s="1037"/>
      <c r="AA793" s="1037"/>
      <c r="AB793" s="1037"/>
      <c r="AC793" s="1037"/>
      <c r="AD793" s="1037"/>
      <c r="AE793" s="1037"/>
      <c r="AF793" s="1037"/>
      <c r="AG793" s="1037"/>
      <c r="AH793" s="1037"/>
      <c r="AI793" s="1037"/>
      <c r="AJ793" s="1037"/>
      <c r="AK793" s="1037"/>
      <c r="AL793" s="1037"/>
      <c r="AM793" s="1037"/>
      <c r="AN793" s="1037"/>
      <c r="AO793" s="1037"/>
      <c r="AP793" s="1037"/>
    </row>
    <row r="794" spans="1:42" s="226" customFormat="1">
      <c r="A794" s="2060"/>
      <c r="B794" s="1037"/>
      <c r="C794" s="1037"/>
      <c r="D794" s="1037"/>
      <c r="E794" s="1037"/>
      <c r="F794" s="1037"/>
      <c r="G794" s="1037"/>
      <c r="H794" s="1018"/>
      <c r="I794" s="1037"/>
      <c r="J794" s="1037"/>
      <c r="K794" s="1037"/>
      <c r="L794" s="1037"/>
      <c r="M794" s="1037"/>
      <c r="N794" s="1037"/>
      <c r="O794" s="1037"/>
      <c r="P794" s="1037"/>
      <c r="Q794" s="1037"/>
      <c r="R794" s="1037"/>
      <c r="S794" s="1037"/>
      <c r="T794" s="1037"/>
      <c r="U794" s="1037"/>
      <c r="V794" s="1037"/>
      <c r="W794" s="1037"/>
      <c r="X794" s="1037"/>
      <c r="Y794" s="1037"/>
      <c r="Z794" s="1037"/>
      <c r="AA794" s="1037"/>
      <c r="AB794" s="1037"/>
      <c r="AC794" s="1037"/>
      <c r="AD794" s="1037"/>
      <c r="AE794" s="1037"/>
      <c r="AF794" s="1037"/>
      <c r="AG794" s="1037"/>
      <c r="AH794" s="1037"/>
      <c r="AI794" s="1037"/>
      <c r="AJ794" s="1037"/>
      <c r="AK794" s="1037"/>
      <c r="AL794" s="1037"/>
      <c r="AM794" s="1037"/>
      <c r="AN794" s="1037"/>
      <c r="AO794" s="1037"/>
      <c r="AP794" s="1037"/>
    </row>
    <row r="795" spans="1:42" s="226" customFormat="1">
      <c r="A795" s="2060"/>
      <c r="B795" s="1037"/>
      <c r="C795" s="1037"/>
      <c r="D795" s="1037"/>
      <c r="E795" s="1037"/>
      <c r="F795" s="1037"/>
      <c r="G795" s="1037"/>
      <c r="H795" s="1018"/>
      <c r="I795" s="1037"/>
      <c r="J795" s="1037"/>
      <c r="K795" s="1037"/>
      <c r="L795" s="1037"/>
      <c r="M795" s="1037"/>
      <c r="N795" s="1037"/>
      <c r="O795" s="1037"/>
      <c r="P795" s="1037"/>
      <c r="Q795" s="1037"/>
      <c r="R795" s="1037"/>
      <c r="S795" s="1037"/>
      <c r="T795" s="1037"/>
      <c r="U795" s="1037"/>
      <c r="V795" s="1037"/>
      <c r="W795" s="1037"/>
      <c r="X795" s="1037"/>
      <c r="Y795" s="1037"/>
      <c r="Z795" s="1037"/>
      <c r="AA795" s="1037"/>
      <c r="AB795" s="1037"/>
      <c r="AC795" s="1037"/>
      <c r="AD795" s="1037"/>
      <c r="AE795" s="1037"/>
      <c r="AF795" s="1037"/>
      <c r="AG795" s="1037"/>
      <c r="AH795" s="1037"/>
      <c r="AI795" s="1037"/>
      <c r="AJ795" s="1037"/>
      <c r="AK795" s="1037"/>
      <c r="AL795" s="1037"/>
      <c r="AM795" s="1037"/>
      <c r="AN795" s="1037"/>
      <c r="AO795" s="1037"/>
      <c r="AP795" s="1037"/>
    </row>
    <row r="796" spans="1:42" s="226" customFormat="1">
      <c r="A796" s="2060"/>
      <c r="B796" s="1037"/>
      <c r="C796" s="1037"/>
      <c r="D796" s="1037"/>
      <c r="E796" s="1037"/>
      <c r="F796" s="1037"/>
      <c r="G796" s="1037"/>
      <c r="H796" s="1018"/>
      <c r="I796" s="1037"/>
      <c r="J796" s="1037"/>
      <c r="K796" s="1037"/>
      <c r="L796" s="1037"/>
      <c r="M796" s="1037"/>
      <c r="N796" s="1037"/>
      <c r="O796" s="1037"/>
      <c r="P796" s="1037"/>
      <c r="Q796" s="1037"/>
      <c r="R796" s="1037"/>
      <c r="S796" s="1037"/>
      <c r="T796" s="1037"/>
      <c r="U796" s="1037"/>
      <c r="V796" s="1037"/>
      <c r="W796" s="1037"/>
      <c r="X796" s="1037"/>
      <c r="Y796" s="1037"/>
      <c r="Z796" s="1037"/>
      <c r="AA796" s="1037"/>
      <c r="AB796" s="1037"/>
      <c r="AC796" s="1037"/>
      <c r="AD796" s="1037"/>
      <c r="AE796" s="1037"/>
      <c r="AF796" s="1037"/>
      <c r="AG796" s="1037"/>
      <c r="AH796" s="1037"/>
      <c r="AI796" s="1037"/>
      <c r="AJ796" s="1037"/>
      <c r="AK796" s="1037"/>
      <c r="AL796" s="1037"/>
      <c r="AM796" s="1037"/>
      <c r="AN796" s="1037"/>
      <c r="AO796" s="1037"/>
      <c r="AP796" s="1037"/>
    </row>
    <row r="797" spans="1:42" s="226" customFormat="1">
      <c r="A797" s="2060"/>
      <c r="B797" s="1037"/>
      <c r="C797" s="1037"/>
      <c r="D797" s="1037"/>
      <c r="E797" s="1037"/>
      <c r="F797" s="1037"/>
      <c r="G797" s="1037"/>
      <c r="H797" s="1018"/>
      <c r="I797" s="1037"/>
      <c r="J797" s="1037"/>
      <c r="K797" s="1037"/>
      <c r="L797" s="1037"/>
      <c r="M797" s="1037"/>
      <c r="N797" s="1037"/>
      <c r="O797" s="1037"/>
      <c r="P797" s="1037"/>
      <c r="Q797" s="1037"/>
      <c r="R797" s="1037"/>
      <c r="S797" s="1037"/>
      <c r="T797" s="1037"/>
      <c r="U797" s="1037"/>
      <c r="V797" s="1037"/>
      <c r="W797" s="1037"/>
      <c r="X797" s="1037"/>
      <c r="Y797" s="1037"/>
      <c r="Z797" s="1037"/>
      <c r="AA797" s="1037"/>
      <c r="AB797" s="1037"/>
      <c r="AC797" s="1037"/>
      <c r="AD797" s="1037"/>
      <c r="AE797" s="1037"/>
      <c r="AF797" s="1037"/>
      <c r="AG797" s="1037"/>
      <c r="AH797" s="1037"/>
      <c r="AI797" s="1037"/>
      <c r="AJ797" s="1037"/>
      <c r="AK797" s="1037"/>
      <c r="AL797" s="1037"/>
      <c r="AM797" s="1037"/>
      <c r="AN797" s="1037"/>
      <c r="AO797" s="1037"/>
      <c r="AP797" s="1037"/>
    </row>
    <row r="798" spans="1:42" s="226" customFormat="1">
      <c r="A798" s="2060"/>
      <c r="B798" s="1037"/>
      <c r="C798" s="1037"/>
      <c r="D798" s="1037"/>
      <c r="E798" s="1037"/>
      <c r="F798" s="1037"/>
      <c r="G798" s="1037"/>
      <c r="H798" s="1018"/>
      <c r="I798" s="1037"/>
      <c r="J798" s="1037"/>
      <c r="K798" s="1037"/>
      <c r="L798" s="1037"/>
      <c r="M798" s="1037"/>
      <c r="N798" s="1037"/>
      <c r="O798" s="1037"/>
      <c r="P798" s="1037"/>
      <c r="Q798" s="1037"/>
      <c r="R798" s="1037"/>
      <c r="S798" s="1037"/>
      <c r="T798" s="1037"/>
      <c r="U798" s="1037"/>
      <c r="V798" s="1037"/>
      <c r="W798" s="1037"/>
      <c r="X798" s="1037"/>
      <c r="Y798" s="1037"/>
      <c r="Z798" s="1037"/>
      <c r="AA798" s="1037"/>
      <c r="AB798" s="1037"/>
      <c r="AC798" s="1037"/>
      <c r="AD798" s="1037"/>
      <c r="AE798" s="1037"/>
      <c r="AF798" s="1037"/>
      <c r="AG798" s="1037"/>
      <c r="AH798" s="1037"/>
      <c r="AI798" s="1037"/>
      <c r="AJ798" s="1037"/>
      <c r="AK798" s="1037"/>
      <c r="AL798" s="1037"/>
      <c r="AM798" s="1037"/>
      <c r="AN798" s="1037"/>
      <c r="AO798" s="1037"/>
      <c r="AP798" s="1037"/>
    </row>
    <row r="799" spans="1:42" s="226" customFormat="1">
      <c r="A799" s="2060"/>
      <c r="B799" s="1037"/>
      <c r="C799" s="1037"/>
      <c r="D799" s="1037"/>
      <c r="E799" s="1037"/>
      <c r="F799" s="1037"/>
      <c r="G799" s="1037"/>
      <c r="H799" s="1018"/>
      <c r="I799" s="1037"/>
      <c r="J799" s="1037"/>
      <c r="K799" s="1037"/>
      <c r="L799" s="1037"/>
      <c r="M799" s="1037"/>
      <c r="N799" s="1037"/>
      <c r="O799" s="1037"/>
      <c r="P799" s="1037"/>
      <c r="Q799" s="1037"/>
      <c r="R799" s="1037"/>
      <c r="S799" s="1037"/>
      <c r="T799" s="1037"/>
      <c r="U799" s="1037"/>
      <c r="V799" s="1037"/>
      <c r="W799" s="1037"/>
      <c r="X799" s="1037"/>
      <c r="Y799" s="1037"/>
      <c r="Z799" s="1037"/>
      <c r="AA799" s="1037"/>
      <c r="AB799" s="1037"/>
      <c r="AC799" s="1037"/>
      <c r="AD799" s="1037"/>
      <c r="AE799" s="1037"/>
      <c r="AF799" s="1037"/>
      <c r="AG799" s="1037"/>
      <c r="AH799" s="1037"/>
      <c r="AI799" s="1037"/>
      <c r="AJ799" s="1037"/>
      <c r="AK799" s="1037"/>
      <c r="AL799" s="1037"/>
      <c r="AM799" s="1037"/>
      <c r="AN799" s="1037"/>
      <c r="AO799" s="1037"/>
      <c r="AP799" s="1037"/>
    </row>
    <row r="800" spans="1:42" s="226" customFormat="1">
      <c r="A800" s="2060"/>
      <c r="B800" s="1037"/>
      <c r="C800" s="1037"/>
      <c r="D800" s="1037"/>
      <c r="E800" s="1037"/>
      <c r="F800" s="1037"/>
      <c r="G800" s="1037"/>
      <c r="H800" s="1018"/>
      <c r="I800" s="1037"/>
      <c r="J800" s="1037"/>
      <c r="K800" s="1037"/>
      <c r="L800" s="1037"/>
      <c r="M800" s="1037"/>
      <c r="N800" s="1037"/>
      <c r="O800" s="1037"/>
      <c r="P800" s="1037"/>
      <c r="Q800" s="1037"/>
      <c r="R800" s="1037"/>
      <c r="S800" s="1037"/>
      <c r="T800" s="1037"/>
      <c r="U800" s="1037"/>
      <c r="V800" s="1037"/>
      <c r="W800" s="1037"/>
      <c r="X800" s="1037"/>
      <c r="Y800" s="1037"/>
      <c r="Z800" s="1037"/>
      <c r="AA800" s="1037"/>
      <c r="AB800" s="1037"/>
      <c r="AC800" s="1037"/>
      <c r="AD800" s="1037"/>
      <c r="AE800" s="1037"/>
      <c r="AF800" s="1037"/>
      <c r="AG800" s="1037"/>
      <c r="AH800" s="1037"/>
      <c r="AI800" s="1037"/>
      <c r="AJ800" s="1037"/>
      <c r="AK800" s="1037"/>
      <c r="AL800" s="1037"/>
      <c r="AM800" s="1037"/>
      <c r="AN800" s="1037"/>
      <c r="AO800" s="1037"/>
      <c r="AP800" s="1037"/>
    </row>
    <row r="801" spans="1:42" s="226" customFormat="1">
      <c r="A801" s="2060"/>
      <c r="B801" s="1037"/>
      <c r="C801" s="1037"/>
      <c r="D801" s="1037"/>
      <c r="E801" s="1037"/>
      <c r="F801" s="1037"/>
      <c r="G801" s="1037"/>
      <c r="H801" s="1018"/>
      <c r="I801" s="1037"/>
      <c r="J801" s="1037"/>
      <c r="K801" s="1037"/>
      <c r="L801" s="1037"/>
      <c r="M801" s="1037"/>
      <c r="N801" s="1037"/>
      <c r="O801" s="1037"/>
      <c r="P801" s="1037"/>
      <c r="Q801" s="1037"/>
      <c r="R801" s="1037"/>
      <c r="S801" s="1037"/>
      <c r="T801" s="1037"/>
      <c r="U801" s="1037"/>
      <c r="V801" s="1037"/>
      <c r="W801" s="1037"/>
      <c r="X801" s="1037"/>
      <c r="Y801" s="1037"/>
      <c r="Z801" s="1037"/>
      <c r="AA801" s="1037"/>
      <c r="AB801" s="1037"/>
      <c r="AC801" s="1037"/>
      <c r="AD801" s="1037"/>
      <c r="AE801" s="1037"/>
      <c r="AF801" s="1037"/>
      <c r="AG801" s="1037"/>
      <c r="AH801" s="1037"/>
      <c r="AI801" s="1037"/>
      <c r="AJ801" s="1037"/>
      <c r="AK801" s="1037"/>
      <c r="AL801" s="1037"/>
      <c r="AM801" s="1037"/>
      <c r="AN801" s="1037"/>
      <c r="AO801" s="1037"/>
      <c r="AP801" s="1037"/>
    </row>
    <row r="802" spans="1:42" s="226" customFormat="1">
      <c r="A802" s="2060"/>
      <c r="B802" s="1037"/>
      <c r="C802" s="1037"/>
      <c r="D802" s="1037"/>
      <c r="E802" s="1037"/>
      <c r="F802" s="1037"/>
      <c r="G802" s="1037"/>
      <c r="H802" s="1018"/>
      <c r="I802" s="1037"/>
      <c r="J802" s="1037"/>
      <c r="K802" s="1037"/>
      <c r="L802" s="1037"/>
      <c r="M802" s="1037"/>
      <c r="N802" s="1037"/>
      <c r="O802" s="1037"/>
      <c r="P802" s="1037"/>
      <c r="Q802" s="1037"/>
      <c r="R802" s="1037"/>
      <c r="S802" s="1037"/>
      <c r="T802" s="1037"/>
      <c r="U802" s="1037"/>
      <c r="V802" s="1037"/>
      <c r="W802" s="1037"/>
      <c r="X802" s="1037"/>
      <c r="Y802" s="1037"/>
      <c r="Z802" s="1037"/>
      <c r="AA802" s="1037"/>
      <c r="AB802" s="1037"/>
      <c r="AC802" s="1037"/>
      <c r="AD802" s="1037"/>
      <c r="AE802" s="1037"/>
      <c r="AF802" s="1037"/>
      <c r="AG802" s="1037"/>
      <c r="AH802" s="1037"/>
      <c r="AI802" s="1037"/>
      <c r="AJ802" s="1037"/>
      <c r="AK802" s="1037"/>
      <c r="AL802" s="1037"/>
      <c r="AM802" s="1037"/>
      <c r="AN802" s="1037"/>
      <c r="AO802" s="1037"/>
      <c r="AP802" s="1037"/>
    </row>
    <row r="803" spans="1:42" s="226" customFormat="1">
      <c r="A803" s="2060"/>
      <c r="B803" s="1037"/>
      <c r="C803" s="1037"/>
      <c r="D803" s="1037"/>
      <c r="E803" s="1037"/>
      <c r="F803" s="1037"/>
      <c r="G803" s="1037"/>
      <c r="H803" s="1018"/>
      <c r="I803" s="1037"/>
      <c r="J803" s="1037"/>
      <c r="K803" s="1037"/>
      <c r="L803" s="1037"/>
      <c r="M803" s="1037"/>
      <c r="N803" s="1037"/>
      <c r="O803" s="1037"/>
      <c r="P803" s="1037"/>
      <c r="Q803" s="1037"/>
      <c r="R803" s="1037"/>
      <c r="S803" s="1037"/>
      <c r="T803" s="1037"/>
      <c r="U803" s="1037"/>
      <c r="V803" s="1037"/>
      <c r="W803" s="1037"/>
      <c r="X803" s="1037"/>
      <c r="Y803" s="1037"/>
      <c r="Z803" s="1037"/>
      <c r="AA803" s="1037"/>
      <c r="AB803" s="1037"/>
      <c r="AC803" s="1037"/>
      <c r="AD803" s="1037"/>
      <c r="AE803" s="1037"/>
      <c r="AF803" s="1037"/>
      <c r="AG803" s="1037"/>
      <c r="AH803" s="1037"/>
      <c r="AI803" s="1037"/>
      <c r="AJ803" s="1037"/>
      <c r="AK803" s="1037"/>
      <c r="AL803" s="1037"/>
      <c r="AM803" s="1037"/>
      <c r="AN803" s="1037"/>
      <c r="AO803" s="1037"/>
      <c r="AP803" s="1037"/>
    </row>
    <row r="804" spans="1:42" s="226" customFormat="1">
      <c r="A804" s="2060"/>
      <c r="B804" s="1037"/>
      <c r="C804" s="1037"/>
      <c r="D804" s="1037"/>
      <c r="E804" s="1037"/>
      <c r="F804" s="1037"/>
      <c r="G804" s="1037"/>
      <c r="H804" s="1018"/>
      <c r="I804" s="1037"/>
      <c r="J804" s="1037"/>
      <c r="K804" s="1037"/>
      <c r="L804" s="1037"/>
      <c r="M804" s="1037"/>
      <c r="N804" s="1037"/>
      <c r="O804" s="1037"/>
      <c r="P804" s="1037"/>
      <c r="Q804" s="1037"/>
      <c r="R804" s="1037"/>
      <c r="S804" s="1037"/>
      <c r="T804" s="1037"/>
      <c r="U804" s="1037"/>
      <c r="V804" s="1037"/>
      <c r="W804" s="1037"/>
      <c r="X804" s="1037"/>
      <c r="Y804" s="1037"/>
      <c r="Z804" s="1037"/>
      <c r="AA804" s="1037"/>
      <c r="AB804" s="1037"/>
      <c r="AC804" s="1037"/>
      <c r="AD804" s="1037"/>
      <c r="AE804" s="1037"/>
      <c r="AF804" s="1037"/>
      <c r="AG804" s="1037"/>
      <c r="AH804" s="1037"/>
      <c r="AI804" s="1037"/>
      <c r="AJ804" s="1037"/>
      <c r="AK804" s="1037"/>
      <c r="AL804" s="1037"/>
      <c r="AM804" s="1037"/>
      <c r="AN804" s="1037"/>
      <c r="AO804" s="1037"/>
      <c r="AP804" s="1037"/>
    </row>
    <row r="805" spans="1:42" s="226" customFormat="1">
      <c r="A805" s="2060"/>
      <c r="B805" s="1037"/>
      <c r="C805" s="1037"/>
      <c r="D805" s="1037"/>
      <c r="E805" s="1037"/>
      <c r="F805" s="1037"/>
      <c r="G805" s="1037"/>
      <c r="H805" s="1018"/>
      <c r="I805" s="1037"/>
      <c r="J805" s="1037"/>
      <c r="K805" s="1037"/>
      <c r="L805" s="1037"/>
      <c r="M805" s="1037"/>
      <c r="N805" s="1037"/>
      <c r="O805" s="1037"/>
      <c r="P805" s="1037"/>
      <c r="Q805" s="1037"/>
      <c r="R805" s="1037"/>
      <c r="S805" s="1037"/>
      <c r="T805" s="1037"/>
      <c r="U805" s="1037"/>
      <c r="V805" s="1037"/>
      <c r="W805" s="1037"/>
      <c r="X805" s="1037"/>
      <c r="Y805" s="1037"/>
      <c r="Z805" s="1037"/>
      <c r="AA805" s="1037"/>
      <c r="AB805" s="1037"/>
      <c r="AC805" s="1037"/>
      <c r="AD805" s="1037"/>
      <c r="AE805" s="1037"/>
      <c r="AF805" s="1037"/>
      <c r="AG805" s="1037"/>
      <c r="AH805" s="1037"/>
      <c r="AI805" s="1037"/>
      <c r="AJ805" s="1037"/>
      <c r="AK805" s="1037"/>
      <c r="AL805" s="1037"/>
      <c r="AM805" s="1037"/>
      <c r="AN805" s="1037"/>
      <c r="AO805" s="1037"/>
      <c r="AP805" s="1037"/>
    </row>
    <row r="806" spans="1:42" s="226" customFormat="1">
      <c r="A806" s="2060"/>
      <c r="B806" s="1037"/>
      <c r="C806" s="1037"/>
      <c r="D806" s="1037"/>
      <c r="E806" s="1037"/>
      <c r="F806" s="1037"/>
      <c r="G806" s="1037"/>
      <c r="H806" s="1018"/>
      <c r="I806" s="1037"/>
      <c r="J806" s="1037"/>
      <c r="K806" s="1037"/>
      <c r="L806" s="1037"/>
      <c r="M806" s="1037"/>
      <c r="N806" s="1037"/>
      <c r="O806" s="1037"/>
      <c r="P806" s="1037"/>
      <c r="Q806" s="1037"/>
      <c r="R806" s="1037"/>
      <c r="S806" s="1037"/>
      <c r="T806" s="1037"/>
      <c r="U806" s="1037"/>
      <c r="V806" s="1037"/>
      <c r="W806" s="1037"/>
      <c r="X806" s="1037"/>
      <c r="Y806" s="1037"/>
      <c r="Z806" s="1037"/>
      <c r="AA806" s="1037"/>
      <c r="AB806" s="1037"/>
      <c r="AC806" s="1037"/>
      <c r="AD806" s="1037"/>
      <c r="AE806" s="1037"/>
      <c r="AF806" s="1037"/>
      <c r="AG806" s="1037"/>
      <c r="AH806" s="1037"/>
      <c r="AI806" s="1037"/>
      <c r="AJ806" s="1037"/>
      <c r="AK806" s="1037"/>
      <c r="AL806" s="1037"/>
      <c r="AM806" s="1037"/>
      <c r="AN806" s="1037"/>
      <c r="AO806" s="1037"/>
      <c r="AP806" s="1037"/>
    </row>
    <row r="807" spans="1:42" s="226" customFormat="1">
      <c r="A807" s="2060"/>
      <c r="B807" s="1037"/>
      <c r="C807" s="1037"/>
      <c r="D807" s="1037"/>
      <c r="E807" s="1037"/>
      <c r="F807" s="1037"/>
      <c r="G807" s="1037"/>
      <c r="H807" s="1018"/>
      <c r="I807" s="1037"/>
      <c r="J807" s="1037"/>
      <c r="K807" s="1037"/>
      <c r="L807" s="1037"/>
      <c r="M807" s="1037"/>
      <c r="N807" s="1037"/>
      <c r="O807" s="1037"/>
      <c r="P807" s="1037"/>
      <c r="Q807" s="1037"/>
      <c r="R807" s="1037"/>
      <c r="S807" s="1037"/>
      <c r="T807" s="1037"/>
      <c r="U807" s="1037"/>
      <c r="V807" s="1037"/>
      <c r="W807" s="1037"/>
      <c r="X807" s="1037"/>
      <c r="Y807" s="1037"/>
      <c r="Z807" s="1037"/>
      <c r="AA807" s="1037"/>
      <c r="AB807" s="1037"/>
      <c r="AC807" s="1037"/>
      <c r="AD807" s="1037"/>
      <c r="AE807" s="1037"/>
      <c r="AF807" s="1037"/>
      <c r="AG807" s="1037"/>
      <c r="AH807" s="1037"/>
      <c r="AI807" s="1037"/>
      <c r="AJ807" s="1037"/>
      <c r="AK807" s="1037"/>
      <c r="AL807" s="1037"/>
      <c r="AM807" s="1037"/>
      <c r="AN807" s="1037"/>
      <c r="AO807" s="1037"/>
      <c r="AP807" s="1037"/>
    </row>
    <row r="808" spans="1:42" s="226" customFormat="1">
      <c r="A808" s="2060"/>
      <c r="B808" s="1037"/>
      <c r="C808" s="1037"/>
      <c r="D808" s="1037"/>
      <c r="E808" s="1037"/>
      <c r="F808" s="1037"/>
      <c r="G808" s="1037"/>
      <c r="H808" s="1018"/>
      <c r="I808" s="1037"/>
      <c r="J808" s="1037"/>
      <c r="K808" s="1037"/>
      <c r="L808" s="1037"/>
      <c r="M808" s="1037"/>
      <c r="N808" s="1037"/>
      <c r="O808" s="1037"/>
      <c r="P808" s="1037"/>
      <c r="Q808" s="1037"/>
      <c r="R808" s="1037"/>
      <c r="S808" s="1037"/>
      <c r="T808" s="1037"/>
      <c r="U808" s="1037"/>
      <c r="V808" s="1037"/>
      <c r="W808" s="1037"/>
      <c r="X808" s="1037"/>
      <c r="Y808" s="1037"/>
      <c r="Z808" s="1037"/>
      <c r="AA808" s="1037"/>
      <c r="AB808" s="1037"/>
      <c r="AC808" s="1037"/>
      <c r="AD808" s="1037"/>
      <c r="AE808" s="1037"/>
      <c r="AF808" s="1037"/>
      <c r="AG808" s="1037"/>
      <c r="AH808" s="1037"/>
      <c r="AI808" s="1037"/>
      <c r="AJ808" s="1037"/>
      <c r="AK808" s="1037"/>
      <c r="AL808" s="1037"/>
      <c r="AM808" s="1037"/>
      <c r="AN808" s="1037"/>
      <c r="AO808" s="1037"/>
      <c r="AP808" s="1037"/>
    </row>
    <row r="809" spans="1:42" s="226" customFormat="1">
      <c r="A809" s="2060"/>
      <c r="B809" s="1037"/>
      <c r="C809" s="1037"/>
      <c r="D809" s="1037"/>
      <c r="E809" s="1037"/>
      <c r="F809" s="1037"/>
      <c r="G809" s="1037"/>
      <c r="H809" s="1018"/>
      <c r="I809" s="1037"/>
      <c r="J809" s="1037"/>
      <c r="K809" s="1037"/>
      <c r="L809" s="1037"/>
      <c r="M809" s="1037"/>
      <c r="N809" s="1037"/>
      <c r="O809" s="1037"/>
      <c r="P809" s="1037"/>
      <c r="Q809" s="1037"/>
      <c r="R809" s="1037"/>
      <c r="S809" s="1037"/>
      <c r="T809" s="1037"/>
      <c r="U809" s="1037"/>
      <c r="V809" s="1037"/>
      <c r="W809" s="1037"/>
      <c r="X809" s="1037"/>
      <c r="Y809" s="1037"/>
      <c r="Z809" s="1037"/>
      <c r="AA809" s="1037"/>
      <c r="AB809" s="1037"/>
      <c r="AC809" s="1037"/>
      <c r="AD809" s="1037"/>
      <c r="AE809" s="1037"/>
      <c r="AF809" s="1037"/>
      <c r="AG809" s="1037"/>
      <c r="AH809" s="1037"/>
      <c r="AI809" s="1037"/>
      <c r="AJ809" s="1037"/>
      <c r="AK809" s="1037"/>
      <c r="AL809" s="1037"/>
      <c r="AM809" s="1037"/>
      <c r="AN809" s="1037"/>
      <c r="AO809" s="1037"/>
      <c r="AP809" s="1037"/>
    </row>
    <row r="810" spans="1:42" s="226" customFormat="1">
      <c r="A810" s="2060"/>
      <c r="B810" s="1037"/>
      <c r="C810" s="1037"/>
      <c r="D810" s="1037"/>
      <c r="E810" s="1037"/>
      <c r="F810" s="1037"/>
      <c r="G810" s="1037"/>
      <c r="H810" s="1018"/>
      <c r="I810" s="1037"/>
      <c r="J810" s="1037"/>
      <c r="K810" s="1037"/>
      <c r="L810" s="1037"/>
      <c r="M810" s="1037"/>
      <c r="N810" s="1037"/>
      <c r="O810" s="1037"/>
      <c r="P810" s="1037"/>
      <c r="Q810" s="1037"/>
      <c r="R810" s="1037"/>
      <c r="S810" s="1037"/>
      <c r="T810" s="1037"/>
      <c r="U810" s="1037"/>
      <c r="V810" s="1037"/>
      <c r="W810" s="1037"/>
      <c r="X810" s="1037"/>
      <c r="Y810" s="1037"/>
      <c r="Z810" s="1037"/>
      <c r="AA810" s="1037"/>
      <c r="AB810" s="1037"/>
      <c r="AC810" s="1037"/>
      <c r="AD810" s="1037"/>
      <c r="AE810" s="1037"/>
      <c r="AF810" s="1037"/>
      <c r="AG810" s="1037"/>
      <c r="AH810" s="1037"/>
      <c r="AI810" s="1037"/>
      <c r="AJ810" s="1037"/>
      <c r="AK810" s="1037"/>
      <c r="AL810" s="1037"/>
      <c r="AM810" s="1037"/>
      <c r="AN810" s="1037"/>
      <c r="AO810" s="1037"/>
      <c r="AP810" s="1037"/>
    </row>
    <row r="811" spans="1:42" s="226" customFormat="1">
      <c r="A811" s="2060"/>
      <c r="B811" s="1037"/>
      <c r="C811" s="1037"/>
      <c r="D811" s="1037"/>
      <c r="E811" s="1037"/>
      <c r="F811" s="1037"/>
      <c r="G811" s="1037"/>
      <c r="H811" s="1018"/>
      <c r="I811" s="1037"/>
      <c r="J811" s="1037"/>
      <c r="K811" s="1037"/>
      <c r="L811" s="1037"/>
      <c r="M811" s="1037"/>
      <c r="N811" s="1037"/>
      <c r="O811" s="1037"/>
      <c r="P811" s="1037"/>
      <c r="Q811" s="1037"/>
      <c r="R811" s="1037"/>
      <c r="S811" s="1037"/>
      <c r="T811" s="1037"/>
      <c r="U811" s="1037"/>
      <c r="V811" s="1037"/>
      <c r="W811" s="1037"/>
      <c r="X811" s="1037"/>
      <c r="Y811" s="1037"/>
      <c r="Z811" s="1037"/>
      <c r="AA811" s="1037"/>
      <c r="AB811" s="1037"/>
      <c r="AC811" s="1037"/>
      <c r="AD811" s="1037"/>
      <c r="AE811" s="1037"/>
      <c r="AF811" s="1037"/>
      <c r="AG811" s="1037"/>
      <c r="AH811" s="1037"/>
      <c r="AI811" s="1037"/>
      <c r="AJ811" s="1037"/>
      <c r="AK811" s="1037"/>
      <c r="AL811" s="1037"/>
      <c r="AM811" s="1037"/>
      <c r="AN811" s="1037"/>
      <c r="AO811" s="1037"/>
      <c r="AP811" s="1037"/>
    </row>
    <row r="812" spans="1:42" s="226" customFormat="1">
      <c r="A812" s="2060"/>
      <c r="B812" s="1037"/>
      <c r="C812" s="1037"/>
      <c r="D812" s="1037"/>
      <c r="E812" s="1037"/>
      <c r="F812" s="1037"/>
      <c r="G812" s="1037"/>
      <c r="H812" s="1018"/>
      <c r="I812" s="1037"/>
      <c r="J812" s="1037"/>
      <c r="K812" s="1037"/>
      <c r="L812" s="1037"/>
      <c r="M812" s="1037"/>
      <c r="N812" s="1037"/>
      <c r="O812" s="1037"/>
      <c r="P812" s="1037"/>
      <c r="Q812" s="1037"/>
      <c r="R812" s="1037"/>
      <c r="S812" s="1037"/>
      <c r="T812" s="1037"/>
      <c r="U812" s="1037"/>
      <c r="V812" s="1037"/>
      <c r="W812" s="1037"/>
      <c r="X812" s="1037"/>
      <c r="Y812" s="1037"/>
      <c r="Z812" s="1037"/>
      <c r="AA812" s="1037"/>
      <c r="AB812" s="1037"/>
      <c r="AC812" s="1037"/>
      <c r="AD812" s="1037"/>
      <c r="AE812" s="1037"/>
      <c r="AF812" s="1037"/>
      <c r="AG812" s="1037"/>
      <c r="AH812" s="1037"/>
      <c r="AI812" s="1037"/>
      <c r="AJ812" s="1037"/>
      <c r="AK812" s="1037"/>
      <c r="AL812" s="1037"/>
      <c r="AM812" s="1037"/>
      <c r="AN812" s="1037"/>
      <c r="AO812" s="1037"/>
      <c r="AP812" s="1037"/>
    </row>
    <row r="813" spans="1:42" s="226" customFormat="1">
      <c r="A813" s="2060"/>
      <c r="B813" s="1037"/>
      <c r="C813" s="1037"/>
      <c r="D813" s="1037"/>
      <c r="E813" s="1037"/>
      <c r="F813" s="1037"/>
      <c r="G813" s="1037"/>
      <c r="H813" s="1018"/>
      <c r="I813" s="1037"/>
      <c r="J813" s="1037"/>
      <c r="K813" s="1037"/>
      <c r="L813" s="1037"/>
      <c r="M813" s="1037"/>
      <c r="N813" s="1037"/>
      <c r="O813" s="1037"/>
      <c r="P813" s="1037"/>
      <c r="Q813" s="1037"/>
      <c r="R813" s="1037"/>
      <c r="S813" s="1037"/>
      <c r="T813" s="1037"/>
      <c r="U813" s="1037"/>
      <c r="V813" s="1037"/>
      <c r="W813" s="1037"/>
      <c r="X813" s="1037"/>
      <c r="Y813" s="1037"/>
      <c r="Z813" s="1037"/>
      <c r="AA813" s="1037"/>
      <c r="AB813" s="1037"/>
      <c r="AC813" s="1037"/>
      <c r="AD813" s="1037"/>
      <c r="AE813" s="1037"/>
      <c r="AF813" s="1037"/>
      <c r="AG813" s="1037"/>
      <c r="AH813" s="1037"/>
      <c r="AI813" s="1037"/>
      <c r="AJ813" s="1037"/>
      <c r="AK813" s="1037"/>
      <c r="AL813" s="1037"/>
      <c r="AM813" s="1037"/>
      <c r="AN813" s="1037"/>
      <c r="AO813" s="1037"/>
      <c r="AP813" s="1037"/>
    </row>
    <row r="814" spans="1:42" s="226" customFormat="1">
      <c r="A814" s="2060"/>
      <c r="B814" s="1037"/>
      <c r="C814" s="1037"/>
      <c r="D814" s="1037"/>
      <c r="E814" s="1037"/>
      <c r="F814" s="1037"/>
      <c r="G814" s="1037"/>
      <c r="H814" s="1018"/>
      <c r="I814" s="1037"/>
      <c r="J814" s="1037"/>
      <c r="K814" s="1037"/>
      <c r="L814" s="1037"/>
      <c r="M814" s="1037"/>
      <c r="N814" s="1037"/>
      <c r="O814" s="1037"/>
      <c r="P814" s="1037"/>
      <c r="Q814" s="1037"/>
      <c r="R814" s="1037"/>
      <c r="S814" s="1037"/>
      <c r="T814" s="1037"/>
      <c r="U814" s="1037"/>
      <c r="V814" s="1037"/>
      <c r="W814" s="1037"/>
      <c r="X814" s="1037"/>
      <c r="Y814" s="1037"/>
      <c r="Z814" s="1037"/>
      <c r="AA814" s="1037"/>
      <c r="AB814" s="1037"/>
      <c r="AC814" s="1037"/>
      <c r="AD814" s="1037"/>
      <c r="AE814" s="1037"/>
      <c r="AF814" s="1037"/>
      <c r="AG814" s="1037"/>
      <c r="AH814" s="1037"/>
      <c r="AI814" s="1037"/>
      <c r="AJ814" s="1037"/>
      <c r="AK814" s="1037"/>
      <c r="AL814" s="1037"/>
      <c r="AM814" s="1037"/>
      <c r="AN814" s="1037"/>
      <c r="AO814" s="1037"/>
      <c r="AP814" s="1037"/>
    </row>
    <row r="815" spans="1:42" s="226" customFormat="1">
      <c r="A815" s="2060"/>
      <c r="B815" s="1037"/>
      <c r="C815" s="1037"/>
      <c r="D815" s="1037"/>
      <c r="E815" s="1037"/>
      <c r="F815" s="1037"/>
      <c r="G815" s="1037"/>
      <c r="H815" s="1018"/>
      <c r="I815" s="1037"/>
      <c r="J815" s="1037"/>
      <c r="K815" s="1037"/>
      <c r="L815" s="1037"/>
      <c r="M815" s="1037"/>
      <c r="N815" s="1037"/>
      <c r="O815" s="1037"/>
      <c r="P815" s="1037"/>
      <c r="Q815" s="1037"/>
      <c r="R815" s="1037"/>
      <c r="S815" s="1037"/>
      <c r="T815" s="1037"/>
      <c r="U815" s="1037"/>
      <c r="V815" s="1037"/>
      <c r="W815" s="1037"/>
      <c r="X815" s="1037"/>
      <c r="Y815" s="1037"/>
      <c r="Z815" s="1037"/>
      <c r="AA815" s="1037"/>
      <c r="AB815" s="1037"/>
      <c r="AC815" s="1037"/>
      <c r="AD815" s="1037"/>
      <c r="AE815" s="1037"/>
      <c r="AF815" s="1037"/>
      <c r="AG815" s="1037"/>
      <c r="AH815" s="1037"/>
      <c r="AI815" s="1037"/>
      <c r="AJ815" s="1037"/>
      <c r="AK815" s="1037"/>
      <c r="AL815" s="1037"/>
      <c r="AM815" s="1037"/>
      <c r="AN815" s="1037"/>
      <c r="AO815" s="1037"/>
      <c r="AP815" s="1037"/>
    </row>
    <row r="816" spans="1:42" s="226" customFormat="1">
      <c r="A816" s="2060"/>
      <c r="B816" s="1037"/>
      <c r="C816" s="1037"/>
      <c r="D816" s="1037"/>
      <c r="E816" s="1037"/>
      <c r="F816" s="1037"/>
      <c r="G816" s="1037"/>
      <c r="H816" s="1018"/>
      <c r="I816" s="1037"/>
      <c r="J816" s="1037"/>
      <c r="K816" s="1037"/>
      <c r="L816" s="1037"/>
      <c r="M816" s="1037"/>
      <c r="N816" s="1037"/>
      <c r="O816" s="1037"/>
      <c r="P816" s="1037"/>
      <c r="Q816" s="1037"/>
      <c r="R816" s="1037"/>
      <c r="S816" s="1037"/>
      <c r="T816" s="1037"/>
      <c r="U816" s="1037"/>
      <c r="V816" s="1037"/>
      <c r="W816" s="1037"/>
      <c r="X816" s="1037"/>
      <c r="Y816" s="1037"/>
      <c r="Z816" s="1037"/>
      <c r="AA816" s="1037"/>
      <c r="AB816" s="1037"/>
      <c r="AC816" s="1037"/>
      <c r="AD816" s="1037"/>
      <c r="AE816" s="1037"/>
      <c r="AF816" s="1037"/>
      <c r="AG816" s="1037"/>
      <c r="AH816" s="1037"/>
      <c r="AI816" s="1037"/>
      <c r="AJ816" s="1037"/>
      <c r="AK816" s="1037"/>
      <c r="AL816" s="1037"/>
      <c r="AM816" s="1037"/>
      <c r="AN816" s="1037"/>
      <c r="AO816" s="1037"/>
      <c r="AP816" s="1037"/>
    </row>
    <row r="817" spans="1:42" s="226" customFormat="1">
      <c r="A817" s="2060"/>
      <c r="B817" s="1037"/>
      <c r="C817" s="1037"/>
      <c r="D817" s="1037"/>
      <c r="E817" s="1037"/>
      <c r="F817" s="1037"/>
      <c r="G817" s="1037"/>
      <c r="H817" s="1018"/>
      <c r="I817" s="1037"/>
      <c r="J817" s="1037"/>
      <c r="K817" s="1037"/>
      <c r="L817" s="1037"/>
      <c r="M817" s="1037"/>
      <c r="N817" s="1037"/>
      <c r="O817" s="1037"/>
      <c r="P817" s="1037"/>
      <c r="Q817" s="1037"/>
      <c r="R817" s="1037"/>
      <c r="S817" s="1037"/>
      <c r="T817" s="1037"/>
      <c r="U817" s="1037"/>
      <c r="V817" s="1037"/>
      <c r="W817" s="1037"/>
      <c r="X817" s="1037"/>
      <c r="Y817" s="1037"/>
      <c r="Z817" s="1037"/>
      <c r="AA817" s="1037"/>
      <c r="AB817" s="1037"/>
      <c r="AC817" s="1037"/>
      <c r="AD817" s="1037"/>
      <c r="AE817" s="1037"/>
      <c r="AF817" s="1037"/>
      <c r="AG817" s="1037"/>
      <c r="AH817" s="1037"/>
      <c r="AI817" s="1037"/>
      <c r="AJ817" s="1037"/>
      <c r="AK817" s="1037"/>
      <c r="AL817" s="1037"/>
      <c r="AM817" s="1037"/>
      <c r="AN817" s="1037"/>
      <c r="AO817" s="1037"/>
      <c r="AP817" s="1037"/>
    </row>
    <row r="818" spans="1:42" s="226" customFormat="1">
      <c r="A818" s="2060"/>
      <c r="B818" s="1037"/>
      <c r="C818" s="1037"/>
      <c r="D818" s="1037"/>
      <c r="E818" s="1037"/>
      <c r="F818" s="1037"/>
      <c r="G818" s="1037"/>
      <c r="H818" s="1018"/>
      <c r="I818" s="1037"/>
      <c r="J818" s="1037"/>
      <c r="K818" s="1037"/>
      <c r="L818" s="1037"/>
      <c r="M818" s="1037"/>
      <c r="N818" s="1037"/>
      <c r="O818" s="1037"/>
      <c r="P818" s="1037"/>
      <c r="Q818" s="1037"/>
      <c r="R818" s="1037"/>
      <c r="S818" s="1037"/>
      <c r="T818" s="1037"/>
      <c r="U818" s="1037"/>
      <c r="V818" s="1037"/>
      <c r="W818" s="1037"/>
      <c r="X818" s="1037"/>
      <c r="Y818" s="1037"/>
      <c r="Z818" s="1037"/>
      <c r="AA818" s="1037"/>
      <c r="AB818" s="1037"/>
      <c r="AC818" s="1037"/>
      <c r="AD818" s="1037"/>
      <c r="AE818" s="1037"/>
      <c r="AF818" s="1037"/>
      <c r="AG818" s="1037"/>
      <c r="AH818" s="1037"/>
      <c r="AI818" s="1037"/>
      <c r="AJ818" s="1037"/>
      <c r="AK818" s="1037"/>
      <c r="AL818" s="1037"/>
      <c r="AM818" s="1037"/>
      <c r="AN818" s="1037"/>
      <c r="AO818" s="1037"/>
      <c r="AP818" s="1037"/>
    </row>
    <row r="819" spans="1:42" s="226" customFormat="1">
      <c r="A819" s="2060"/>
      <c r="B819" s="1037"/>
      <c r="C819" s="1037"/>
      <c r="D819" s="1037"/>
      <c r="E819" s="1037"/>
      <c r="F819" s="1037"/>
      <c r="G819" s="1037"/>
      <c r="H819" s="1018"/>
      <c r="I819" s="1037"/>
      <c r="J819" s="1037"/>
      <c r="K819" s="1037"/>
      <c r="L819" s="1037"/>
      <c r="M819" s="1037"/>
      <c r="N819" s="1037"/>
      <c r="O819" s="1037"/>
      <c r="P819" s="1037"/>
      <c r="Q819" s="1037"/>
      <c r="R819" s="1037"/>
      <c r="S819" s="1037"/>
      <c r="T819" s="1037"/>
      <c r="U819" s="1037"/>
      <c r="V819" s="1037"/>
      <c r="W819" s="1037"/>
      <c r="X819" s="1037"/>
      <c r="Y819" s="1037"/>
      <c r="Z819" s="1037"/>
      <c r="AA819" s="1037"/>
      <c r="AB819" s="1037"/>
      <c r="AC819" s="1037"/>
      <c r="AD819" s="1037"/>
      <c r="AE819" s="1037"/>
      <c r="AF819" s="1037"/>
      <c r="AG819" s="1037"/>
      <c r="AH819" s="1037"/>
      <c r="AI819" s="1037"/>
      <c r="AJ819" s="1037"/>
      <c r="AK819" s="1037"/>
      <c r="AL819" s="1037"/>
      <c r="AM819" s="1037"/>
      <c r="AN819" s="1037"/>
      <c r="AO819" s="1037"/>
      <c r="AP819" s="1037"/>
    </row>
    <row r="820" spans="1:42" s="226" customFormat="1">
      <c r="A820" s="2060"/>
      <c r="B820" s="1037"/>
      <c r="C820" s="1037"/>
      <c r="D820" s="1037"/>
      <c r="E820" s="1037"/>
      <c r="F820" s="1037"/>
      <c r="G820" s="1037"/>
      <c r="H820" s="1018"/>
      <c r="I820" s="1037"/>
      <c r="J820" s="1037"/>
      <c r="K820" s="1037"/>
      <c r="L820" s="1037"/>
      <c r="M820" s="1037"/>
      <c r="N820" s="1037"/>
      <c r="O820" s="1037"/>
      <c r="P820" s="1037"/>
      <c r="Q820" s="1037"/>
      <c r="R820" s="1037"/>
      <c r="S820" s="1037"/>
      <c r="T820" s="1037"/>
      <c r="U820" s="1037"/>
      <c r="V820" s="1037"/>
      <c r="W820" s="1037"/>
      <c r="X820" s="1037"/>
      <c r="Y820" s="1037"/>
      <c r="Z820" s="1037"/>
      <c r="AA820" s="1037"/>
      <c r="AB820" s="1037"/>
      <c r="AC820" s="1037"/>
      <c r="AD820" s="1037"/>
      <c r="AE820" s="1037"/>
      <c r="AF820" s="1037"/>
      <c r="AG820" s="1037"/>
      <c r="AH820" s="1037"/>
      <c r="AI820" s="1037"/>
      <c r="AJ820" s="1037"/>
      <c r="AK820" s="1037"/>
      <c r="AL820" s="1037"/>
      <c r="AM820" s="1037"/>
      <c r="AN820" s="1037"/>
      <c r="AO820" s="1037"/>
      <c r="AP820" s="1037"/>
    </row>
    <row r="821" spans="1:42" s="226" customFormat="1">
      <c r="A821" s="2060"/>
      <c r="B821" s="1037"/>
      <c r="C821" s="1037"/>
      <c r="D821" s="1037"/>
      <c r="E821" s="1037"/>
      <c r="F821" s="1037"/>
      <c r="G821" s="1037"/>
      <c r="H821" s="1018"/>
      <c r="I821" s="1037"/>
      <c r="J821" s="1037"/>
      <c r="K821" s="1037"/>
      <c r="L821" s="1037"/>
      <c r="M821" s="1037"/>
      <c r="N821" s="1037"/>
      <c r="O821" s="1037"/>
      <c r="P821" s="1037"/>
      <c r="Q821" s="1037"/>
      <c r="R821" s="1037"/>
      <c r="S821" s="1037"/>
      <c r="T821" s="1037"/>
      <c r="U821" s="1037"/>
      <c r="V821" s="1037"/>
      <c r="W821" s="1037"/>
      <c r="X821" s="1037"/>
      <c r="Y821" s="1037"/>
      <c r="Z821" s="1037"/>
      <c r="AA821" s="1037"/>
      <c r="AB821" s="1037"/>
      <c r="AC821" s="1037"/>
      <c r="AD821" s="1037"/>
      <c r="AE821" s="1037"/>
      <c r="AF821" s="1037"/>
      <c r="AG821" s="1037"/>
      <c r="AH821" s="1037"/>
      <c r="AI821" s="1037"/>
      <c r="AJ821" s="1037"/>
      <c r="AK821" s="1037"/>
      <c r="AL821" s="1037"/>
      <c r="AM821" s="1037"/>
      <c r="AN821" s="1037"/>
      <c r="AO821" s="1037"/>
      <c r="AP821" s="1037"/>
    </row>
    <row r="822" spans="1:42" s="226" customFormat="1">
      <c r="A822" s="2060"/>
      <c r="B822" s="1037"/>
      <c r="C822" s="1037"/>
      <c r="D822" s="1037"/>
      <c r="E822" s="1037"/>
      <c r="F822" s="1037"/>
      <c r="G822" s="1037"/>
      <c r="H822" s="1018"/>
      <c r="I822" s="1037"/>
      <c r="J822" s="1037"/>
      <c r="K822" s="1037"/>
      <c r="L822" s="1037"/>
      <c r="M822" s="1037"/>
      <c r="N822" s="1037"/>
      <c r="O822" s="1037"/>
      <c r="P822" s="1037"/>
      <c r="Q822" s="1037"/>
      <c r="R822" s="1037"/>
      <c r="S822" s="1037"/>
      <c r="T822" s="1037"/>
      <c r="U822" s="1037"/>
      <c r="V822" s="1037"/>
      <c r="W822" s="1037"/>
      <c r="X822" s="1037"/>
      <c r="Y822" s="1037"/>
      <c r="Z822" s="1037"/>
      <c r="AA822" s="1037"/>
      <c r="AB822" s="1037"/>
      <c r="AC822" s="1037"/>
      <c r="AD822" s="1037"/>
      <c r="AE822" s="1037"/>
      <c r="AF822" s="1037"/>
      <c r="AG822" s="1037"/>
      <c r="AH822" s="1037"/>
      <c r="AI822" s="1037"/>
      <c r="AJ822" s="1037"/>
      <c r="AK822" s="1037"/>
      <c r="AL822" s="1037"/>
      <c r="AM822" s="1037"/>
      <c r="AN822" s="1037"/>
      <c r="AO822" s="1037"/>
      <c r="AP822" s="1037"/>
    </row>
    <row r="823" spans="1:42" s="226" customFormat="1">
      <c r="A823" s="2060"/>
      <c r="B823" s="1037"/>
      <c r="C823" s="1037"/>
      <c r="D823" s="1037"/>
      <c r="E823" s="1037"/>
      <c r="F823" s="1037"/>
      <c r="G823" s="1037"/>
      <c r="H823" s="1018"/>
      <c r="I823" s="1037"/>
      <c r="J823" s="1037"/>
      <c r="K823" s="1037"/>
      <c r="L823" s="1037"/>
      <c r="M823" s="1037"/>
      <c r="N823" s="1037"/>
      <c r="O823" s="1037"/>
      <c r="P823" s="1037"/>
      <c r="Q823" s="1037"/>
      <c r="R823" s="1037"/>
      <c r="S823" s="1037"/>
      <c r="T823" s="1037"/>
      <c r="U823" s="1037"/>
      <c r="V823" s="1037"/>
      <c r="W823" s="1037"/>
      <c r="X823" s="1037"/>
      <c r="Y823" s="1037"/>
      <c r="Z823" s="1037"/>
      <c r="AA823" s="1037"/>
      <c r="AB823" s="1037"/>
      <c r="AC823" s="1037"/>
      <c r="AD823" s="1037"/>
      <c r="AE823" s="1037"/>
      <c r="AF823" s="1037"/>
      <c r="AG823" s="1037"/>
      <c r="AH823" s="1037"/>
      <c r="AI823" s="1037"/>
      <c r="AJ823" s="1037"/>
      <c r="AK823" s="1037"/>
      <c r="AL823" s="1037"/>
      <c r="AM823" s="1037"/>
      <c r="AN823" s="1037"/>
      <c r="AO823" s="1037"/>
      <c r="AP823" s="1037"/>
    </row>
    <row r="824" spans="1:42" s="226" customFormat="1">
      <c r="A824" s="2060"/>
      <c r="B824" s="1037"/>
      <c r="C824" s="1037"/>
      <c r="D824" s="1037"/>
      <c r="E824" s="1037"/>
      <c r="F824" s="1037"/>
      <c r="G824" s="1037"/>
      <c r="H824" s="1018"/>
      <c r="I824" s="1037"/>
      <c r="J824" s="1037"/>
      <c r="K824" s="1037"/>
      <c r="L824" s="1037"/>
      <c r="M824" s="1037"/>
      <c r="N824" s="1037"/>
      <c r="O824" s="1037"/>
      <c r="P824" s="1037"/>
      <c r="Q824" s="1037"/>
      <c r="R824" s="1037"/>
      <c r="S824" s="1037"/>
      <c r="T824" s="1037"/>
      <c r="U824" s="1037"/>
      <c r="V824" s="1037"/>
      <c r="W824" s="1037"/>
      <c r="X824" s="1037"/>
      <c r="Y824" s="1037"/>
      <c r="Z824" s="1037"/>
      <c r="AA824" s="1037"/>
      <c r="AB824" s="1037"/>
      <c r="AC824" s="1037"/>
      <c r="AD824" s="1037"/>
      <c r="AE824" s="1037"/>
      <c r="AF824" s="1037"/>
      <c r="AG824" s="1037"/>
      <c r="AH824" s="1037"/>
      <c r="AI824" s="1037"/>
      <c r="AJ824" s="1037"/>
      <c r="AK824" s="1037"/>
      <c r="AL824" s="1037"/>
      <c r="AM824" s="1037"/>
      <c r="AN824" s="1037"/>
      <c r="AO824" s="1037"/>
      <c r="AP824" s="1037"/>
    </row>
    <row r="825" spans="1:42" s="226" customFormat="1">
      <c r="A825" s="2060"/>
      <c r="B825" s="1037"/>
      <c r="C825" s="1037"/>
      <c r="D825" s="1037"/>
      <c r="E825" s="1037"/>
      <c r="F825" s="1037"/>
      <c r="G825" s="1037"/>
      <c r="H825" s="1018"/>
      <c r="I825" s="1037"/>
      <c r="J825" s="1037"/>
      <c r="K825" s="1037"/>
      <c r="L825" s="1037"/>
      <c r="M825" s="1037"/>
      <c r="N825" s="1037"/>
      <c r="O825" s="1037"/>
      <c r="P825" s="1037"/>
      <c r="Q825" s="1037"/>
      <c r="R825" s="1037"/>
      <c r="S825" s="1037"/>
      <c r="T825" s="1037"/>
      <c r="U825" s="1037"/>
      <c r="V825" s="1037"/>
      <c r="W825" s="1037"/>
      <c r="X825" s="1037"/>
      <c r="Y825" s="1037"/>
      <c r="Z825" s="1037"/>
      <c r="AA825" s="1037"/>
      <c r="AB825" s="1037"/>
      <c r="AC825" s="1037"/>
      <c r="AD825" s="1037"/>
      <c r="AE825" s="1037"/>
      <c r="AF825" s="1037"/>
      <c r="AG825" s="1037"/>
      <c r="AH825" s="1037"/>
      <c r="AI825" s="1037"/>
      <c r="AJ825" s="1037"/>
      <c r="AK825" s="1037"/>
      <c r="AL825" s="1037"/>
      <c r="AM825" s="1037"/>
      <c r="AN825" s="1037"/>
      <c r="AO825" s="1037"/>
      <c r="AP825" s="1037"/>
    </row>
    <row r="826" spans="1:42" s="226" customFormat="1">
      <c r="A826" s="2060"/>
      <c r="B826" s="1037"/>
      <c r="C826" s="1037"/>
      <c r="D826" s="1037"/>
      <c r="E826" s="1037"/>
      <c r="F826" s="1037"/>
      <c r="G826" s="1037"/>
      <c r="H826" s="1018"/>
      <c r="I826" s="1037"/>
      <c r="J826" s="1037"/>
      <c r="K826" s="1037"/>
      <c r="L826" s="1037"/>
      <c r="M826" s="1037"/>
      <c r="N826" s="1037"/>
      <c r="O826" s="1037"/>
      <c r="P826" s="1037"/>
      <c r="Q826" s="1037"/>
      <c r="R826" s="1037"/>
      <c r="S826" s="1037"/>
      <c r="T826" s="1037"/>
      <c r="U826" s="1037"/>
      <c r="V826" s="1037"/>
      <c r="W826" s="1037"/>
      <c r="X826" s="1037"/>
      <c r="Y826" s="1037"/>
      <c r="Z826" s="1037"/>
      <c r="AA826" s="1037"/>
      <c r="AB826" s="1037"/>
      <c r="AC826" s="1037"/>
      <c r="AD826" s="1037"/>
      <c r="AE826" s="1037"/>
      <c r="AF826" s="1037"/>
      <c r="AG826" s="1037"/>
      <c r="AH826" s="1037"/>
      <c r="AI826" s="1037"/>
      <c r="AJ826" s="1037"/>
      <c r="AK826" s="1037"/>
      <c r="AL826" s="1037"/>
      <c r="AM826" s="1037"/>
      <c r="AN826" s="1037"/>
      <c r="AO826" s="1037"/>
      <c r="AP826" s="1037"/>
    </row>
    <row r="827" spans="1:42" s="226" customFormat="1">
      <c r="A827" s="2060"/>
      <c r="B827" s="1037"/>
      <c r="C827" s="1037"/>
      <c r="D827" s="1037"/>
      <c r="E827" s="1037"/>
      <c r="F827" s="1037"/>
      <c r="G827" s="1037"/>
      <c r="H827" s="1018"/>
      <c r="I827" s="1037"/>
      <c r="J827" s="1037"/>
      <c r="K827" s="1037"/>
      <c r="L827" s="1037"/>
      <c r="M827" s="1037"/>
      <c r="N827" s="1037"/>
      <c r="O827" s="1037"/>
      <c r="P827" s="1037"/>
      <c r="Q827" s="1037"/>
      <c r="R827" s="1037"/>
      <c r="S827" s="1037"/>
      <c r="T827" s="1037"/>
      <c r="U827" s="1037"/>
      <c r="V827" s="1037"/>
      <c r="W827" s="1037"/>
      <c r="X827" s="1037"/>
      <c r="Y827" s="1037"/>
      <c r="Z827" s="1037"/>
      <c r="AA827" s="1037"/>
      <c r="AB827" s="1037"/>
      <c r="AC827" s="1037"/>
      <c r="AD827" s="1037"/>
      <c r="AE827" s="1037"/>
      <c r="AF827" s="1037"/>
      <c r="AG827" s="1037"/>
      <c r="AH827" s="1037"/>
      <c r="AI827" s="1037"/>
      <c r="AJ827" s="1037"/>
      <c r="AK827" s="1037"/>
      <c r="AL827" s="1037"/>
      <c r="AM827" s="1037"/>
      <c r="AN827" s="1037"/>
      <c r="AO827" s="1037"/>
      <c r="AP827" s="1037"/>
    </row>
    <row r="828" spans="1:42" s="226" customFormat="1">
      <c r="A828" s="2060"/>
      <c r="B828" s="1037"/>
      <c r="C828" s="1037"/>
      <c r="D828" s="1037"/>
      <c r="E828" s="1037"/>
      <c r="F828" s="1037"/>
      <c r="G828" s="1037"/>
      <c r="H828" s="1018"/>
      <c r="I828" s="1037"/>
      <c r="J828" s="1037"/>
      <c r="K828" s="1037"/>
      <c r="L828" s="1037"/>
      <c r="M828" s="1037"/>
      <c r="N828" s="1037"/>
      <c r="O828" s="1037"/>
      <c r="P828" s="1037"/>
      <c r="Q828" s="1037"/>
      <c r="R828" s="1037"/>
      <c r="S828" s="1037"/>
      <c r="T828" s="1037"/>
      <c r="U828" s="1037"/>
      <c r="V828" s="1037"/>
      <c r="W828" s="1037"/>
      <c r="X828" s="1037"/>
      <c r="Y828" s="1037"/>
      <c r="Z828" s="1037"/>
      <c r="AA828" s="1037"/>
      <c r="AB828" s="1037"/>
      <c r="AC828" s="1037"/>
      <c r="AD828" s="1037"/>
      <c r="AE828" s="1037"/>
      <c r="AF828" s="1037"/>
      <c r="AG828" s="1037"/>
      <c r="AH828" s="1037"/>
      <c r="AI828" s="1037"/>
      <c r="AJ828" s="1037"/>
      <c r="AK828" s="1037"/>
      <c r="AL828" s="1037"/>
      <c r="AM828" s="1037"/>
      <c r="AN828" s="1037"/>
      <c r="AO828" s="1037"/>
      <c r="AP828" s="1037"/>
    </row>
    <row r="829" spans="1:42" s="226" customFormat="1">
      <c r="A829" s="2060"/>
      <c r="B829" s="1037"/>
      <c r="C829" s="1037"/>
      <c r="D829" s="1037"/>
      <c r="E829" s="1037"/>
      <c r="F829" s="1037"/>
      <c r="G829" s="1037"/>
      <c r="H829" s="1018"/>
      <c r="I829" s="1037"/>
      <c r="J829" s="1037"/>
      <c r="K829" s="1037"/>
      <c r="L829" s="1037"/>
      <c r="M829" s="1037"/>
      <c r="N829" s="1037"/>
      <c r="O829" s="1037"/>
      <c r="P829" s="1037"/>
      <c r="Q829" s="1037"/>
      <c r="R829" s="1037"/>
      <c r="S829" s="1037"/>
      <c r="T829" s="1037"/>
      <c r="U829" s="1037"/>
      <c r="V829" s="1037"/>
      <c r="W829" s="1037"/>
      <c r="X829" s="1037"/>
      <c r="Y829" s="1037"/>
      <c r="Z829" s="1037"/>
      <c r="AA829" s="1037"/>
      <c r="AB829" s="1037"/>
      <c r="AC829" s="1037"/>
      <c r="AD829" s="1037"/>
      <c r="AE829" s="1037"/>
      <c r="AF829" s="1037"/>
      <c r="AG829" s="1037"/>
      <c r="AH829" s="1037"/>
      <c r="AI829" s="1037"/>
      <c r="AJ829" s="1037"/>
      <c r="AK829" s="1037"/>
      <c r="AL829" s="1037"/>
      <c r="AM829" s="1037"/>
      <c r="AN829" s="1037"/>
      <c r="AO829" s="1037"/>
      <c r="AP829" s="1037"/>
    </row>
    <row r="830" spans="1:42" s="226" customFormat="1">
      <c r="A830" s="2060"/>
      <c r="B830" s="1037"/>
      <c r="C830" s="1037"/>
      <c r="D830" s="1037"/>
      <c r="E830" s="1037"/>
      <c r="F830" s="1037"/>
      <c r="G830" s="1037"/>
      <c r="H830" s="1018"/>
      <c r="I830" s="1037"/>
      <c r="J830" s="1037"/>
      <c r="K830" s="1037"/>
      <c r="L830" s="1037"/>
      <c r="M830" s="1037"/>
      <c r="N830" s="1037"/>
      <c r="O830" s="1037"/>
      <c r="P830" s="1037"/>
      <c r="Q830" s="1037"/>
      <c r="R830" s="1037"/>
      <c r="S830" s="1037"/>
      <c r="T830" s="1037"/>
      <c r="U830" s="1037"/>
      <c r="V830" s="1037"/>
      <c r="W830" s="1037"/>
      <c r="X830" s="1037"/>
      <c r="Y830" s="1037"/>
      <c r="Z830" s="1037"/>
      <c r="AA830" s="1037"/>
      <c r="AB830" s="1037"/>
      <c r="AC830" s="1037"/>
      <c r="AD830" s="1037"/>
      <c r="AE830" s="1037"/>
      <c r="AF830" s="1037"/>
      <c r="AG830" s="1037"/>
      <c r="AH830" s="1037"/>
      <c r="AI830" s="1037"/>
      <c r="AJ830" s="1037"/>
      <c r="AK830" s="1037"/>
      <c r="AL830" s="1037"/>
      <c r="AM830" s="1037"/>
      <c r="AN830" s="1037"/>
      <c r="AO830" s="1037"/>
      <c r="AP830" s="1037"/>
    </row>
    <row r="831" spans="1:42" s="226" customFormat="1">
      <c r="A831" s="2060"/>
      <c r="B831" s="1037"/>
      <c r="C831" s="1037"/>
      <c r="D831" s="1037"/>
      <c r="E831" s="1037"/>
      <c r="F831" s="1037"/>
      <c r="G831" s="1037"/>
      <c r="H831" s="1018"/>
      <c r="I831" s="1037"/>
      <c r="J831" s="1037"/>
      <c r="K831" s="1037"/>
      <c r="L831" s="1037"/>
      <c r="M831" s="1037"/>
      <c r="N831" s="1037"/>
      <c r="O831" s="1037"/>
      <c r="P831" s="1037"/>
      <c r="Q831" s="1037"/>
      <c r="R831" s="1037"/>
      <c r="S831" s="1037"/>
      <c r="T831" s="1037"/>
      <c r="U831" s="1037"/>
      <c r="V831" s="1037"/>
      <c r="W831" s="1037"/>
      <c r="X831" s="1037"/>
      <c r="Y831" s="1037"/>
      <c r="Z831" s="1037"/>
      <c r="AA831" s="1037"/>
      <c r="AB831" s="1037"/>
      <c r="AC831" s="1037"/>
      <c r="AD831" s="1037"/>
      <c r="AE831" s="1037"/>
      <c r="AF831" s="1037"/>
      <c r="AG831" s="1037"/>
      <c r="AH831" s="1037"/>
      <c r="AI831" s="1037"/>
      <c r="AJ831" s="1037"/>
      <c r="AK831" s="1037"/>
      <c r="AL831" s="1037"/>
      <c r="AM831" s="1037"/>
      <c r="AN831" s="1037"/>
      <c r="AO831" s="1037"/>
      <c r="AP831" s="1037"/>
    </row>
    <row r="832" spans="1:42" s="226" customFormat="1">
      <c r="A832" s="2060"/>
      <c r="B832" s="1037"/>
      <c r="C832" s="1037"/>
      <c r="D832" s="1037"/>
      <c r="E832" s="1037"/>
      <c r="F832" s="1037"/>
      <c r="G832" s="1037"/>
      <c r="H832" s="1018"/>
      <c r="I832" s="1037"/>
      <c r="J832" s="1037"/>
      <c r="K832" s="1037"/>
      <c r="L832" s="1037"/>
      <c r="M832" s="1037"/>
      <c r="N832" s="1037"/>
      <c r="O832" s="1037"/>
      <c r="P832" s="1037"/>
      <c r="Q832" s="1037"/>
      <c r="R832" s="1037"/>
      <c r="S832" s="1037"/>
      <c r="T832" s="1037"/>
      <c r="U832" s="1037"/>
      <c r="V832" s="1037"/>
      <c r="W832" s="1037"/>
      <c r="X832" s="1037"/>
      <c r="Y832" s="1037"/>
      <c r="Z832" s="1037"/>
      <c r="AA832" s="1037"/>
      <c r="AB832" s="1037"/>
      <c r="AC832" s="1037"/>
      <c r="AD832" s="1037"/>
      <c r="AE832" s="1037"/>
      <c r="AF832" s="1037"/>
      <c r="AG832" s="1037"/>
      <c r="AH832" s="1037"/>
      <c r="AI832" s="1037"/>
      <c r="AJ832" s="1037"/>
      <c r="AK832" s="1037"/>
      <c r="AL832" s="1037"/>
      <c r="AM832" s="1037"/>
      <c r="AN832" s="1037"/>
      <c r="AO832" s="1037"/>
      <c r="AP832" s="1037"/>
    </row>
    <row r="833" spans="1:42" s="226" customFormat="1">
      <c r="A833" s="2060"/>
      <c r="B833" s="1037"/>
      <c r="C833" s="1037"/>
      <c r="D833" s="1037"/>
      <c r="E833" s="1037"/>
      <c r="F833" s="1037"/>
      <c r="G833" s="1037"/>
      <c r="H833" s="1018"/>
      <c r="I833" s="1037"/>
      <c r="J833" s="1037"/>
      <c r="K833" s="1037"/>
      <c r="L833" s="1037"/>
      <c r="M833" s="1037"/>
      <c r="N833" s="1037"/>
      <c r="O833" s="1037"/>
      <c r="P833" s="1037"/>
      <c r="Q833" s="1037"/>
      <c r="R833" s="1037"/>
      <c r="S833" s="1037"/>
      <c r="T833" s="1037"/>
      <c r="U833" s="1037"/>
      <c r="V833" s="1037"/>
      <c r="W833" s="1037"/>
      <c r="X833" s="1037"/>
      <c r="Y833" s="1037"/>
      <c r="Z833" s="1037"/>
      <c r="AA833" s="1037"/>
      <c r="AB833" s="1037"/>
      <c r="AC833" s="1037"/>
      <c r="AD833" s="1037"/>
      <c r="AE833" s="1037"/>
      <c r="AF833" s="1037"/>
      <c r="AG833" s="1037"/>
      <c r="AH833" s="1037"/>
      <c r="AI833" s="1037"/>
      <c r="AJ833" s="1037"/>
      <c r="AK833" s="1037"/>
      <c r="AL833" s="1037"/>
      <c r="AM833" s="1037"/>
      <c r="AN833" s="1037"/>
      <c r="AO833" s="1037"/>
      <c r="AP833" s="1037"/>
    </row>
    <row r="834" spans="1:42" s="226" customFormat="1">
      <c r="A834" s="2060"/>
      <c r="B834" s="1037"/>
      <c r="C834" s="1037"/>
      <c r="D834" s="1037"/>
      <c r="E834" s="1037"/>
      <c r="F834" s="1037"/>
      <c r="G834" s="1037"/>
      <c r="H834" s="1018"/>
      <c r="I834" s="1037"/>
      <c r="J834" s="1037"/>
      <c r="K834" s="1037"/>
      <c r="L834" s="1037"/>
      <c r="M834" s="1037"/>
      <c r="N834" s="1037"/>
      <c r="O834" s="1037"/>
      <c r="P834" s="1037"/>
      <c r="Q834" s="1037"/>
      <c r="R834" s="1037"/>
      <c r="S834" s="1037"/>
      <c r="T834" s="1037"/>
      <c r="U834" s="1037"/>
      <c r="V834" s="1037"/>
      <c r="W834" s="1037"/>
      <c r="X834" s="1037"/>
      <c r="Y834" s="1037"/>
      <c r="Z834" s="1037"/>
      <c r="AA834" s="1037"/>
      <c r="AB834" s="1037"/>
      <c r="AC834" s="1037"/>
      <c r="AD834" s="1037"/>
      <c r="AE834" s="1037"/>
      <c r="AF834" s="1037"/>
      <c r="AG834" s="1037"/>
      <c r="AH834" s="1037"/>
      <c r="AI834" s="1037"/>
      <c r="AJ834" s="1037"/>
      <c r="AK834" s="1037"/>
      <c r="AL834" s="1037"/>
      <c r="AM834" s="1037"/>
      <c r="AN834" s="1037"/>
      <c r="AO834" s="1037"/>
      <c r="AP834" s="1037"/>
    </row>
    <row r="835" spans="1:42" s="226" customFormat="1">
      <c r="A835" s="2060"/>
      <c r="B835" s="1037"/>
      <c r="C835" s="1037"/>
      <c r="D835" s="1037"/>
      <c r="E835" s="1037"/>
      <c r="F835" s="1037"/>
      <c r="G835" s="1037"/>
      <c r="H835" s="1018"/>
      <c r="I835" s="1037"/>
      <c r="J835" s="1037"/>
      <c r="K835" s="1037"/>
      <c r="L835" s="1037"/>
      <c r="M835" s="1037"/>
      <c r="N835" s="1037"/>
      <c r="O835" s="1037"/>
      <c r="P835" s="1037"/>
      <c r="Q835" s="1037"/>
      <c r="R835" s="1037"/>
      <c r="S835" s="1037"/>
      <c r="T835" s="1037"/>
      <c r="U835" s="1037"/>
      <c r="V835" s="1037"/>
      <c r="W835" s="1037"/>
      <c r="X835" s="1037"/>
      <c r="Y835" s="1037"/>
      <c r="Z835" s="1037"/>
      <c r="AA835" s="1037"/>
      <c r="AB835" s="1037"/>
      <c r="AC835" s="1037"/>
      <c r="AD835" s="1037"/>
      <c r="AE835" s="1037"/>
      <c r="AF835" s="1037"/>
      <c r="AG835" s="1037"/>
      <c r="AH835" s="1037"/>
      <c r="AI835" s="1037"/>
      <c r="AJ835" s="1037"/>
      <c r="AK835" s="1037"/>
      <c r="AL835" s="1037"/>
      <c r="AM835" s="1037"/>
      <c r="AN835" s="1037"/>
      <c r="AO835" s="1037"/>
      <c r="AP835" s="1037"/>
    </row>
    <row r="836" spans="1:42" s="226" customFormat="1">
      <c r="A836" s="2060"/>
      <c r="B836" s="1037"/>
      <c r="C836" s="1037"/>
      <c r="D836" s="1037"/>
      <c r="E836" s="1037"/>
      <c r="F836" s="1037"/>
      <c r="G836" s="1037"/>
      <c r="H836" s="1018"/>
      <c r="I836" s="1037"/>
      <c r="J836" s="1037"/>
      <c r="K836" s="1037"/>
      <c r="L836" s="1037"/>
      <c r="M836" s="1037"/>
      <c r="N836" s="1037"/>
      <c r="O836" s="1037"/>
      <c r="P836" s="1037"/>
      <c r="Q836" s="1037"/>
      <c r="R836" s="1037"/>
      <c r="S836" s="1037"/>
      <c r="T836" s="1037"/>
      <c r="U836" s="1037"/>
      <c r="V836" s="1037"/>
      <c r="W836" s="1037"/>
      <c r="X836" s="1037"/>
      <c r="Y836" s="1037"/>
      <c r="Z836" s="1037"/>
      <c r="AA836" s="1037"/>
      <c r="AB836" s="1037"/>
      <c r="AC836" s="1037"/>
      <c r="AD836" s="1037"/>
      <c r="AE836" s="1037"/>
      <c r="AF836" s="1037"/>
      <c r="AG836" s="1037"/>
      <c r="AH836" s="1037"/>
      <c r="AI836" s="1037"/>
      <c r="AJ836" s="1037"/>
      <c r="AK836" s="1037"/>
      <c r="AL836" s="1037"/>
      <c r="AM836" s="1037"/>
      <c r="AN836" s="1037"/>
      <c r="AO836" s="1037"/>
      <c r="AP836" s="1037"/>
    </row>
    <row r="837" spans="1:42" s="226" customFormat="1">
      <c r="A837" s="2060"/>
      <c r="B837" s="1037"/>
      <c r="C837" s="1037"/>
      <c r="D837" s="1037"/>
      <c r="E837" s="1037"/>
      <c r="F837" s="1037"/>
      <c r="G837" s="1037"/>
      <c r="H837" s="1018"/>
      <c r="I837" s="1037"/>
      <c r="J837" s="1037"/>
      <c r="K837" s="1037"/>
      <c r="L837" s="1037"/>
      <c r="M837" s="1037"/>
      <c r="N837" s="1037"/>
      <c r="O837" s="1037"/>
      <c r="P837" s="1037"/>
      <c r="Q837" s="1037"/>
      <c r="R837" s="1037"/>
      <c r="S837" s="1037"/>
      <c r="T837" s="1037"/>
      <c r="U837" s="1037"/>
      <c r="V837" s="1037"/>
      <c r="W837" s="1037"/>
      <c r="X837" s="1037"/>
      <c r="Y837" s="1037"/>
      <c r="Z837" s="1037"/>
      <c r="AA837" s="1037"/>
      <c r="AB837" s="1037"/>
      <c r="AC837" s="1037"/>
      <c r="AD837" s="1037"/>
      <c r="AE837" s="1037"/>
      <c r="AF837" s="1037"/>
      <c r="AG837" s="1037"/>
      <c r="AH837" s="1037"/>
      <c r="AI837" s="1037"/>
      <c r="AJ837" s="1037"/>
      <c r="AK837" s="1037"/>
      <c r="AL837" s="1037"/>
      <c r="AM837" s="1037"/>
      <c r="AN837" s="1037"/>
      <c r="AO837" s="1037"/>
      <c r="AP837" s="1037"/>
    </row>
    <row r="838" spans="1:42" s="226" customFormat="1">
      <c r="A838" s="2060"/>
      <c r="B838" s="1037"/>
      <c r="C838" s="1037"/>
      <c r="D838" s="1037"/>
      <c r="E838" s="1037"/>
      <c r="F838" s="1037"/>
      <c r="G838" s="1037"/>
      <c r="H838" s="1018"/>
      <c r="I838" s="1037"/>
      <c r="J838" s="1037"/>
      <c r="K838" s="1037"/>
      <c r="L838" s="1037"/>
      <c r="M838" s="1037"/>
      <c r="N838" s="1037"/>
      <c r="O838" s="1037"/>
      <c r="P838" s="1037"/>
      <c r="Q838" s="1037"/>
      <c r="R838" s="1037"/>
      <c r="S838" s="1037"/>
      <c r="T838" s="1037"/>
      <c r="U838" s="1037"/>
      <c r="V838" s="1037"/>
      <c r="W838" s="1037"/>
      <c r="X838" s="1037"/>
      <c r="Y838" s="1037"/>
      <c r="Z838" s="1037"/>
      <c r="AA838" s="1037"/>
      <c r="AB838" s="1037"/>
      <c r="AC838" s="1037"/>
      <c r="AD838" s="1037"/>
      <c r="AE838" s="1037"/>
      <c r="AF838" s="1037"/>
      <c r="AG838" s="1037"/>
      <c r="AH838" s="1037"/>
      <c r="AI838" s="1037"/>
      <c r="AJ838" s="1037"/>
      <c r="AK838" s="1037"/>
      <c r="AL838" s="1037"/>
      <c r="AM838" s="1037"/>
      <c r="AN838" s="1037"/>
      <c r="AO838" s="1037"/>
      <c r="AP838" s="1037"/>
    </row>
    <row r="839" spans="1:42" s="226" customFormat="1">
      <c r="A839" s="2060"/>
      <c r="B839" s="1037"/>
      <c r="C839" s="1037"/>
      <c r="D839" s="1037"/>
      <c r="E839" s="1037"/>
      <c r="F839" s="1037"/>
      <c r="G839" s="1037"/>
      <c r="H839" s="1018"/>
      <c r="I839" s="1037"/>
      <c r="J839" s="1037"/>
      <c r="K839" s="1037"/>
      <c r="L839" s="1037"/>
      <c r="M839" s="1037"/>
      <c r="N839" s="1037"/>
      <c r="O839" s="1037"/>
      <c r="P839" s="1037"/>
      <c r="Q839" s="1037"/>
      <c r="R839" s="1037"/>
      <c r="S839" s="1037"/>
      <c r="T839" s="1037"/>
      <c r="U839" s="1037"/>
      <c r="V839" s="1037"/>
      <c r="W839" s="1037"/>
      <c r="X839" s="1037"/>
      <c r="Y839" s="1037"/>
      <c r="Z839" s="1037"/>
      <c r="AA839" s="1037"/>
      <c r="AB839" s="1037"/>
      <c r="AC839" s="1037"/>
      <c r="AD839" s="1037"/>
      <c r="AE839" s="1037"/>
      <c r="AF839" s="1037"/>
      <c r="AG839" s="1037"/>
      <c r="AH839" s="1037"/>
      <c r="AI839" s="1037"/>
      <c r="AJ839" s="1037"/>
      <c r="AK839" s="1037"/>
      <c r="AL839" s="1037"/>
      <c r="AM839" s="1037"/>
      <c r="AN839" s="1037"/>
      <c r="AO839" s="1037"/>
      <c r="AP839" s="1037"/>
    </row>
    <row r="840" spans="1:42" s="226" customFormat="1">
      <c r="A840" s="2060"/>
      <c r="B840" s="1037"/>
      <c r="C840" s="1037"/>
      <c r="D840" s="1037"/>
      <c r="E840" s="1037"/>
      <c r="F840" s="1037"/>
      <c r="G840" s="1037"/>
      <c r="H840" s="1018"/>
      <c r="I840" s="1037"/>
      <c r="J840" s="1037"/>
      <c r="K840" s="1037"/>
      <c r="L840" s="1037"/>
      <c r="M840" s="1037"/>
      <c r="N840" s="1037"/>
      <c r="O840" s="1037"/>
      <c r="P840" s="1037"/>
      <c r="Q840" s="1037"/>
      <c r="R840" s="1037"/>
      <c r="S840" s="1037"/>
      <c r="T840" s="1037"/>
      <c r="U840" s="1037"/>
      <c r="V840" s="1037"/>
      <c r="W840" s="1037"/>
      <c r="X840" s="1037"/>
      <c r="Y840" s="1037"/>
      <c r="Z840" s="1037"/>
      <c r="AA840" s="1037"/>
      <c r="AB840" s="1037"/>
      <c r="AC840" s="1037"/>
      <c r="AD840" s="1037"/>
      <c r="AE840" s="1037"/>
      <c r="AF840" s="1037"/>
      <c r="AG840" s="1037"/>
      <c r="AH840" s="1037"/>
      <c r="AI840" s="1037"/>
      <c r="AJ840" s="1037"/>
      <c r="AK840" s="1037"/>
      <c r="AL840" s="1037"/>
      <c r="AM840" s="1037"/>
      <c r="AN840" s="1037"/>
      <c r="AO840" s="1037"/>
      <c r="AP840" s="1037"/>
    </row>
    <row r="841" spans="1:42" s="226" customFormat="1">
      <c r="A841" s="2060"/>
      <c r="B841" s="1037"/>
      <c r="C841" s="1037"/>
      <c r="D841" s="1037"/>
      <c r="E841" s="1037"/>
      <c r="F841" s="1037"/>
      <c r="G841" s="1037"/>
      <c r="H841" s="1018"/>
      <c r="I841" s="1037"/>
      <c r="J841" s="1037"/>
      <c r="K841" s="1037"/>
      <c r="L841" s="1037"/>
      <c r="M841" s="1037"/>
      <c r="N841" s="1037"/>
      <c r="O841" s="1037"/>
      <c r="P841" s="1037"/>
      <c r="Q841" s="1037"/>
      <c r="R841" s="1037"/>
      <c r="S841" s="1037"/>
      <c r="T841" s="1037"/>
      <c r="U841" s="1037"/>
      <c r="V841" s="1037"/>
      <c r="W841" s="1037"/>
      <c r="X841" s="1037"/>
      <c r="Y841" s="1037"/>
      <c r="Z841" s="1037"/>
      <c r="AA841" s="1037"/>
      <c r="AB841" s="1037"/>
      <c r="AC841" s="1037"/>
      <c r="AD841" s="1037"/>
      <c r="AE841" s="1037"/>
      <c r="AF841" s="1037"/>
      <c r="AG841" s="1037"/>
      <c r="AH841" s="1037"/>
      <c r="AI841" s="1037"/>
      <c r="AJ841" s="1037"/>
      <c r="AK841" s="1037"/>
      <c r="AL841" s="1037"/>
      <c r="AM841" s="1037"/>
      <c r="AN841" s="1037"/>
      <c r="AO841" s="1037"/>
      <c r="AP841" s="1037"/>
    </row>
    <row r="842" spans="1:42" s="226" customFormat="1">
      <c r="A842" s="2060"/>
      <c r="B842" s="1037"/>
      <c r="C842" s="1037"/>
      <c r="D842" s="1037"/>
      <c r="E842" s="1037"/>
      <c r="F842" s="1037"/>
      <c r="G842" s="1037"/>
      <c r="H842" s="1018"/>
      <c r="I842" s="1037"/>
      <c r="J842" s="1037"/>
      <c r="K842" s="1037"/>
      <c r="L842" s="1037"/>
      <c r="M842" s="1037"/>
      <c r="N842" s="1037"/>
      <c r="O842" s="1037"/>
      <c r="P842" s="1037"/>
      <c r="Q842" s="1037"/>
      <c r="R842" s="1037"/>
      <c r="S842" s="1037"/>
      <c r="T842" s="1037"/>
      <c r="U842" s="1037"/>
      <c r="V842" s="1037"/>
      <c r="W842" s="1037"/>
      <c r="X842" s="1037"/>
      <c r="Y842" s="1037"/>
      <c r="Z842" s="1037"/>
      <c r="AA842" s="1037"/>
      <c r="AB842" s="1037"/>
      <c r="AC842" s="1037"/>
      <c r="AD842" s="1037"/>
      <c r="AE842" s="1037"/>
      <c r="AF842" s="1037"/>
      <c r="AG842" s="1037"/>
      <c r="AH842" s="1037"/>
      <c r="AI842" s="1037"/>
      <c r="AJ842" s="1037"/>
      <c r="AK842" s="1037"/>
      <c r="AL842" s="1037"/>
      <c r="AM842" s="1037"/>
      <c r="AN842" s="1037"/>
      <c r="AO842" s="1037"/>
      <c r="AP842" s="1037"/>
    </row>
    <row r="843" spans="1:42" s="226" customFormat="1">
      <c r="A843" s="2060"/>
      <c r="B843" s="1037"/>
      <c r="C843" s="1037"/>
      <c r="D843" s="1037"/>
      <c r="E843" s="1037"/>
      <c r="F843" s="1037"/>
      <c r="G843" s="1037"/>
      <c r="H843" s="1018"/>
      <c r="I843" s="1037"/>
      <c r="J843" s="1037"/>
      <c r="K843" s="1037"/>
      <c r="L843" s="1037"/>
      <c r="M843" s="1037"/>
      <c r="N843" s="1037"/>
      <c r="O843" s="1037"/>
      <c r="P843" s="1037"/>
      <c r="Q843" s="1037"/>
      <c r="R843" s="1037"/>
      <c r="S843" s="1037"/>
      <c r="T843" s="1037"/>
      <c r="U843" s="1037"/>
      <c r="V843" s="1037"/>
      <c r="W843" s="1037"/>
      <c r="X843" s="1037"/>
      <c r="Y843" s="1037"/>
      <c r="Z843" s="1037"/>
      <c r="AA843" s="1037"/>
      <c r="AB843" s="1037"/>
      <c r="AC843" s="1037"/>
      <c r="AD843" s="1037"/>
      <c r="AE843" s="1037"/>
      <c r="AF843" s="1037"/>
      <c r="AG843" s="1037"/>
      <c r="AH843" s="1037"/>
      <c r="AI843" s="1037"/>
      <c r="AJ843" s="1037"/>
      <c r="AK843" s="1037"/>
      <c r="AL843" s="1037"/>
      <c r="AM843" s="1037"/>
      <c r="AN843" s="1037"/>
      <c r="AO843" s="1037"/>
      <c r="AP843" s="1037"/>
    </row>
    <row r="844" spans="1:42" s="226" customFormat="1">
      <c r="A844" s="2060"/>
      <c r="B844" s="1037"/>
      <c r="C844" s="1037"/>
      <c r="D844" s="1037"/>
      <c r="E844" s="1037"/>
      <c r="F844" s="1037"/>
      <c r="G844" s="1037"/>
      <c r="H844" s="1018"/>
      <c r="I844" s="1037"/>
      <c r="J844" s="1037"/>
      <c r="K844" s="1037"/>
      <c r="L844" s="1037"/>
      <c r="M844" s="1037"/>
      <c r="N844" s="1037"/>
      <c r="O844" s="1037"/>
      <c r="P844" s="1037"/>
      <c r="Q844" s="1037"/>
      <c r="R844" s="1037"/>
      <c r="S844" s="1037"/>
      <c r="T844" s="1037"/>
      <c r="U844" s="1037"/>
      <c r="V844" s="1037"/>
      <c r="W844" s="1037"/>
      <c r="X844" s="1037"/>
      <c r="Y844" s="1037"/>
      <c r="Z844" s="1037"/>
      <c r="AA844" s="1037"/>
      <c r="AB844" s="1037"/>
      <c r="AC844" s="1037"/>
      <c r="AD844" s="1037"/>
      <c r="AE844" s="1037"/>
      <c r="AF844" s="1037"/>
      <c r="AG844" s="1037"/>
      <c r="AH844" s="1037"/>
      <c r="AI844" s="1037"/>
      <c r="AJ844" s="1037"/>
      <c r="AK844" s="1037"/>
      <c r="AL844" s="1037"/>
      <c r="AM844" s="1037"/>
      <c r="AN844" s="1037"/>
      <c r="AO844" s="1037"/>
      <c r="AP844" s="1037"/>
    </row>
    <row r="845" spans="1:42" s="226" customFormat="1">
      <c r="A845" s="2060"/>
      <c r="B845" s="1037"/>
      <c r="C845" s="1037"/>
      <c r="D845" s="1037"/>
      <c r="E845" s="1037"/>
      <c r="F845" s="1037"/>
      <c r="G845" s="1037"/>
      <c r="H845" s="1018"/>
      <c r="I845" s="1037"/>
      <c r="J845" s="1037"/>
      <c r="K845" s="1037"/>
      <c r="L845" s="1037"/>
      <c r="M845" s="1037"/>
      <c r="N845" s="1037"/>
      <c r="O845" s="1037"/>
      <c r="P845" s="1037"/>
      <c r="Q845" s="1037"/>
      <c r="R845" s="1037"/>
      <c r="S845" s="1037"/>
      <c r="T845" s="1037"/>
      <c r="U845" s="1037"/>
      <c r="V845" s="1037"/>
      <c r="W845" s="1037"/>
      <c r="X845" s="1037"/>
      <c r="Y845" s="1037"/>
      <c r="Z845" s="1037"/>
      <c r="AA845" s="1037"/>
      <c r="AB845" s="1037"/>
      <c r="AC845" s="1037"/>
      <c r="AD845" s="1037"/>
      <c r="AE845" s="1037"/>
      <c r="AF845" s="1037"/>
      <c r="AG845" s="1037"/>
      <c r="AH845" s="1037"/>
      <c r="AI845" s="1037"/>
      <c r="AJ845" s="1037"/>
      <c r="AK845" s="1037"/>
      <c r="AL845" s="1037"/>
      <c r="AM845" s="1037"/>
      <c r="AN845" s="1037"/>
      <c r="AO845" s="1037"/>
      <c r="AP845" s="1037"/>
    </row>
    <row r="846" spans="1:42" s="226" customFormat="1">
      <c r="A846" s="2060"/>
      <c r="B846" s="1037"/>
      <c r="C846" s="1037"/>
      <c r="D846" s="1037"/>
      <c r="E846" s="1037"/>
      <c r="F846" s="1037"/>
      <c r="G846" s="1037"/>
      <c r="H846" s="1018"/>
      <c r="I846" s="1037"/>
      <c r="J846" s="1037"/>
      <c r="K846" s="1037"/>
      <c r="L846" s="1037"/>
      <c r="M846" s="1037"/>
      <c r="N846" s="1037"/>
      <c r="O846" s="1037"/>
      <c r="P846" s="1037"/>
      <c r="Q846" s="1037"/>
      <c r="R846" s="1037"/>
      <c r="S846" s="1037"/>
      <c r="T846" s="1037"/>
      <c r="U846" s="1037"/>
      <c r="V846" s="1037"/>
      <c r="W846" s="1037"/>
      <c r="X846" s="1037"/>
      <c r="Y846" s="1037"/>
      <c r="Z846" s="1037"/>
      <c r="AA846" s="1037"/>
      <c r="AB846" s="1037"/>
      <c r="AC846" s="1037"/>
      <c r="AD846" s="1037"/>
      <c r="AE846" s="1037"/>
      <c r="AF846" s="1037"/>
      <c r="AG846" s="1037"/>
      <c r="AH846" s="1037"/>
      <c r="AI846" s="1037"/>
      <c r="AJ846" s="1037"/>
      <c r="AK846" s="1037"/>
      <c r="AL846" s="1037"/>
      <c r="AM846" s="1037"/>
      <c r="AN846" s="1037"/>
      <c r="AO846" s="1037"/>
      <c r="AP846" s="1037"/>
    </row>
    <row r="847" spans="1:42" s="226" customFormat="1">
      <c r="A847" s="2060"/>
      <c r="B847" s="1037"/>
      <c r="C847" s="1037"/>
      <c r="D847" s="1037"/>
      <c r="E847" s="1037"/>
      <c r="F847" s="1037"/>
      <c r="G847" s="1037"/>
      <c r="H847" s="1018"/>
      <c r="I847" s="1037"/>
      <c r="J847" s="1037"/>
      <c r="K847" s="1037"/>
      <c r="L847" s="1037"/>
      <c r="M847" s="1037"/>
      <c r="N847" s="1037"/>
      <c r="O847" s="1037"/>
      <c r="P847" s="1037"/>
      <c r="Q847" s="1037"/>
      <c r="R847" s="1037"/>
      <c r="S847" s="1037"/>
      <c r="T847" s="1037"/>
      <c r="U847" s="1037"/>
      <c r="V847" s="1037"/>
      <c r="W847" s="1037"/>
      <c r="X847" s="1037"/>
      <c r="Y847" s="1037"/>
      <c r="Z847" s="1037"/>
      <c r="AA847" s="1037"/>
      <c r="AB847" s="1037"/>
      <c r="AC847" s="1037"/>
      <c r="AD847" s="1037"/>
      <c r="AE847" s="1037"/>
      <c r="AF847" s="1037"/>
      <c r="AG847" s="1037"/>
      <c r="AH847" s="1037"/>
      <c r="AI847" s="1037"/>
      <c r="AJ847" s="1037"/>
      <c r="AK847" s="1037"/>
      <c r="AL847" s="1037"/>
      <c r="AM847" s="1037"/>
      <c r="AN847" s="1037"/>
      <c r="AO847" s="1037"/>
      <c r="AP847" s="1037"/>
    </row>
    <row r="848" spans="1:42" s="226" customFormat="1">
      <c r="A848" s="2060"/>
      <c r="B848" s="1037"/>
      <c r="C848" s="1037"/>
      <c r="D848" s="1037"/>
      <c r="E848" s="1037"/>
      <c r="F848" s="1037"/>
      <c r="G848" s="1037"/>
      <c r="H848" s="1018"/>
      <c r="I848" s="1037"/>
      <c r="J848" s="1037"/>
      <c r="K848" s="1037"/>
      <c r="L848" s="1037"/>
      <c r="M848" s="1037"/>
      <c r="N848" s="1037"/>
      <c r="O848" s="1037"/>
      <c r="P848" s="1037"/>
      <c r="Q848" s="1037"/>
      <c r="R848" s="1037"/>
      <c r="S848" s="1037"/>
      <c r="T848" s="1037"/>
      <c r="U848" s="1037"/>
      <c r="V848" s="1037"/>
      <c r="W848" s="1037"/>
      <c r="X848" s="1037"/>
      <c r="Y848" s="1037"/>
      <c r="Z848" s="1037"/>
      <c r="AA848" s="1037"/>
      <c r="AB848" s="1037"/>
      <c r="AC848" s="1037"/>
      <c r="AD848" s="1037"/>
      <c r="AE848" s="1037"/>
      <c r="AF848" s="1037"/>
      <c r="AG848" s="1037"/>
      <c r="AH848" s="1037"/>
      <c r="AI848" s="1037"/>
      <c r="AJ848" s="1037"/>
      <c r="AK848" s="1037"/>
      <c r="AL848" s="1037"/>
      <c r="AM848" s="1037"/>
      <c r="AN848" s="1037"/>
      <c r="AO848" s="1037"/>
      <c r="AP848" s="1037"/>
    </row>
    <row r="849" spans="1:42" s="226" customFormat="1">
      <c r="A849" s="2060"/>
      <c r="B849" s="1037"/>
      <c r="C849" s="1037"/>
      <c r="D849" s="1037"/>
      <c r="E849" s="1037"/>
      <c r="F849" s="1037"/>
      <c r="G849" s="1037"/>
      <c r="H849" s="1018"/>
      <c r="I849" s="1037"/>
      <c r="J849" s="1037"/>
      <c r="K849" s="1037"/>
      <c r="L849" s="1037"/>
      <c r="M849" s="1037"/>
      <c r="N849" s="1037"/>
      <c r="O849" s="1037"/>
      <c r="P849" s="1037"/>
      <c r="Q849" s="1037"/>
      <c r="R849" s="1037"/>
      <c r="S849" s="1037"/>
      <c r="T849" s="1037"/>
      <c r="U849" s="1037"/>
      <c r="V849" s="1037"/>
      <c r="W849" s="1037"/>
      <c r="X849" s="1037"/>
      <c r="Y849" s="1037"/>
      <c r="Z849" s="1037"/>
      <c r="AA849" s="1037"/>
      <c r="AB849" s="1037"/>
      <c r="AC849" s="1037"/>
      <c r="AD849" s="1037"/>
      <c r="AE849" s="1037"/>
      <c r="AF849" s="1037"/>
      <c r="AG849" s="1037"/>
      <c r="AH849" s="1037"/>
      <c r="AI849" s="1037"/>
      <c r="AJ849" s="1037"/>
      <c r="AK849" s="1037"/>
      <c r="AL849" s="1037"/>
      <c r="AM849" s="1037"/>
      <c r="AN849" s="1037"/>
      <c r="AO849" s="1037"/>
      <c r="AP849" s="1037"/>
    </row>
    <row r="850" spans="1:42" s="226" customFormat="1">
      <c r="A850" s="2060"/>
      <c r="B850" s="1037"/>
      <c r="C850" s="1037"/>
      <c r="D850" s="1037"/>
      <c r="E850" s="1037"/>
      <c r="F850" s="1037"/>
      <c r="G850" s="1037"/>
      <c r="H850" s="1018"/>
      <c r="I850" s="1037"/>
      <c r="J850" s="1037"/>
      <c r="K850" s="1037"/>
      <c r="L850" s="1037"/>
      <c r="M850" s="1037"/>
      <c r="N850" s="1037"/>
      <c r="O850" s="1037"/>
      <c r="P850" s="1037"/>
      <c r="Q850" s="1037"/>
      <c r="R850" s="1037"/>
      <c r="S850" s="1037"/>
      <c r="T850" s="1037"/>
      <c r="U850" s="1037"/>
      <c r="V850" s="1037"/>
      <c r="W850" s="1037"/>
      <c r="X850" s="1037"/>
      <c r="Y850" s="1037"/>
      <c r="Z850" s="1037"/>
      <c r="AA850" s="1037"/>
      <c r="AB850" s="1037"/>
      <c r="AC850" s="1037"/>
      <c r="AD850" s="1037"/>
      <c r="AE850" s="1037"/>
      <c r="AF850" s="1037"/>
      <c r="AG850" s="1037"/>
      <c r="AH850" s="1037"/>
      <c r="AI850" s="1037"/>
      <c r="AJ850" s="1037"/>
      <c r="AK850" s="1037"/>
      <c r="AL850" s="1037"/>
      <c r="AM850" s="1037"/>
      <c r="AN850" s="1037"/>
      <c r="AO850" s="1037"/>
      <c r="AP850" s="1037"/>
    </row>
    <row r="851" spans="1:42" s="226" customFormat="1">
      <c r="A851" s="2060"/>
      <c r="B851" s="1037"/>
      <c r="C851" s="1037"/>
      <c r="D851" s="1037"/>
      <c r="E851" s="1037"/>
      <c r="F851" s="1037"/>
      <c r="G851" s="1037"/>
      <c r="H851" s="1018"/>
      <c r="I851" s="1037"/>
      <c r="J851" s="1037"/>
      <c r="K851" s="1037"/>
      <c r="L851" s="1037"/>
      <c r="M851" s="1037"/>
      <c r="N851" s="1037"/>
      <c r="O851" s="1037"/>
      <c r="P851" s="1037"/>
      <c r="Q851" s="1037"/>
      <c r="R851" s="1037"/>
      <c r="S851" s="1037"/>
      <c r="T851" s="1037"/>
      <c r="U851" s="1037"/>
      <c r="V851" s="1037"/>
      <c r="W851" s="1037"/>
      <c r="X851" s="1037"/>
      <c r="Y851" s="1037"/>
      <c r="Z851" s="1037"/>
      <c r="AA851" s="1037"/>
      <c r="AB851" s="1037"/>
      <c r="AC851" s="1037"/>
      <c r="AD851" s="1037"/>
      <c r="AE851" s="1037"/>
      <c r="AF851" s="1037"/>
      <c r="AG851" s="1037"/>
      <c r="AH851" s="1037"/>
      <c r="AI851" s="1037"/>
      <c r="AJ851" s="1037"/>
      <c r="AK851" s="1037"/>
      <c r="AL851" s="1037"/>
      <c r="AM851" s="1037"/>
      <c r="AN851" s="1037"/>
      <c r="AO851" s="1037"/>
      <c r="AP851" s="1037"/>
    </row>
    <row r="852" spans="1:42" s="226" customFormat="1">
      <c r="A852" s="2060"/>
      <c r="B852" s="1037"/>
      <c r="C852" s="1037"/>
      <c r="D852" s="1037"/>
      <c r="E852" s="1037"/>
      <c r="F852" s="1037"/>
      <c r="G852" s="1037"/>
      <c r="H852" s="1018"/>
      <c r="I852" s="1037"/>
      <c r="J852" s="1037"/>
      <c r="K852" s="1037"/>
      <c r="L852" s="1037"/>
      <c r="M852" s="1037"/>
      <c r="N852" s="1037"/>
      <c r="O852" s="1037"/>
      <c r="P852" s="1037"/>
      <c r="Q852" s="1037"/>
      <c r="R852" s="1037"/>
      <c r="S852" s="1037"/>
      <c r="T852" s="1037"/>
      <c r="U852" s="1037"/>
      <c r="V852" s="1037"/>
      <c r="W852" s="1037"/>
      <c r="X852" s="1037"/>
      <c r="Y852" s="1037"/>
      <c r="Z852" s="1037"/>
      <c r="AA852" s="1037"/>
      <c r="AB852" s="1037"/>
      <c r="AC852" s="1037"/>
      <c r="AD852" s="1037"/>
      <c r="AE852" s="1037"/>
      <c r="AF852" s="1037"/>
      <c r="AG852" s="1037"/>
      <c r="AH852" s="1037"/>
      <c r="AI852" s="1037"/>
      <c r="AJ852" s="1037"/>
      <c r="AK852" s="1037"/>
      <c r="AL852" s="1037"/>
      <c r="AM852" s="1037"/>
      <c r="AN852" s="1037"/>
      <c r="AO852" s="1037"/>
      <c r="AP852" s="1037"/>
    </row>
    <row r="853" spans="1:42" s="226" customFormat="1">
      <c r="A853" s="2060"/>
      <c r="B853" s="1037"/>
      <c r="C853" s="1037"/>
      <c r="D853" s="1037"/>
      <c r="E853" s="1037"/>
      <c r="F853" s="1037"/>
      <c r="G853" s="1037"/>
      <c r="H853" s="1018"/>
      <c r="I853" s="1037"/>
      <c r="J853" s="1037"/>
      <c r="K853" s="1037"/>
      <c r="L853" s="1037"/>
      <c r="M853" s="1037"/>
      <c r="N853" s="1037"/>
      <c r="O853" s="1037"/>
      <c r="P853" s="1037"/>
      <c r="Q853" s="1037"/>
      <c r="R853" s="1037"/>
      <c r="S853" s="1037"/>
      <c r="T853" s="1037"/>
      <c r="U853" s="1037"/>
      <c r="V853" s="1037"/>
      <c r="W853" s="1037"/>
      <c r="X853" s="1037"/>
      <c r="Y853" s="1037"/>
      <c r="Z853" s="1037"/>
      <c r="AA853" s="1037"/>
      <c r="AB853" s="1037"/>
      <c r="AC853" s="1037"/>
      <c r="AD853" s="1037"/>
      <c r="AE853" s="1037"/>
      <c r="AF853" s="1037"/>
      <c r="AG853" s="1037"/>
      <c r="AH853" s="1037"/>
      <c r="AI853" s="1037"/>
      <c r="AJ853" s="1037"/>
      <c r="AK853" s="1037"/>
      <c r="AL853" s="1037"/>
      <c r="AM853" s="1037"/>
      <c r="AN853" s="1037"/>
      <c r="AO853" s="1037"/>
      <c r="AP853" s="1037"/>
    </row>
    <row r="854" spans="1:42" s="226" customFormat="1">
      <c r="A854" s="2060"/>
      <c r="B854" s="1037"/>
      <c r="C854" s="1037"/>
      <c r="D854" s="1037"/>
      <c r="E854" s="1037"/>
      <c r="F854" s="1037"/>
      <c r="G854" s="1037"/>
      <c r="H854" s="1018"/>
      <c r="I854" s="1037"/>
      <c r="J854" s="1037"/>
      <c r="K854" s="1037"/>
      <c r="L854" s="1037"/>
      <c r="M854" s="1037"/>
      <c r="N854" s="1037"/>
      <c r="O854" s="1037"/>
      <c r="P854" s="1037"/>
      <c r="Q854" s="1037"/>
      <c r="R854" s="1037"/>
      <c r="S854" s="1037"/>
      <c r="T854" s="1037"/>
      <c r="U854" s="1037"/>
      <c r="V854" s="1037"/>
      <c r="W854" s="1037"/>
      <c r="X854" s="1037"/>
      <c r="Y854" s="1037"/>
      <c r="Z854" s="1037"/>
      <c r="AA854" s="1037"/>
      <c r="AB854" s="1037"/>
      <c r="AC854" s="1037"/>
      <c r="AD854" s="1037"/>
      <c r="AE854" s="1037"/>
      <c r="AF854" s="1037"/>
      <c r="AG854" s="1037"/>
      <c r="AH854" s="1037"/>
      <c r="AI854" s="1037"/>
      <c r="AJ854" s="1037"/>
      <c r="AK854" s="1037"/>
      <c r="AL854" s="1037"/>
      <c r="AM854" s="1037"/>
      <c r="AN854" s="1037"/>
      <c r="AO854" s="1037"/>
      <c r="AP854" s="1037"/>
    </row>
    <row r="855" spans="1:42" s="226" customFormat="1">
      <c r="A855" s="2060"/>
      <c r="B855" s="1037"/>
      <c r="C855" s="1037"/>
      <c r="D855" s="1037"/>
      <c r="E855" s="1037"/>
      <c r="F855" s="1037"/>
      <c r="G855" s="1037"/>
      <c r="H855" s="1018"/>
      <c r="I855" s="1037"/>
      <c r="J855" s="1037"/>
      <c r="K855" s="1037"/>
      <c r="L855" s="1037"/>
      <c r="M855" s="1037"/>
      <c r="N855" s="1037"/>
      <c r="O855" s="1037"/>
      <c r="P855" s="1037"/>
      <c r="Q855" s="1037"/>
      <c r="R855" s="1037"/>
      <c r="S855" s="1037"/>
      <c r="T855" s="1037"/>
      <c r="U855" s="1037"/>
      <c r="V855" s="1037"/>
      <c r="W855" s="1037"/>
      <c r="X855" s="1037"/>
      <c r="Y855" s="1037"/>
      <c r="Z855" s="1037"/>
      <c r="AA855" s="1037"/>
      <c r="AB855" s="1037"/>
      <c r="AC855" s="1037"/>
      <c r="AD855" s="1037"/>
      <c r="AE855" s="1037"/>
      <c r="AF855" s="1037"/>
      <c r="AG855" s="1037"/>
      <c r="AH855" s="1037"/>
      <c r="AI855" s="1037"/>
      <c r="AJ855" s="1037"/>
      <c r="AK855" s="1037"/>
      <c r="AL855" s="1037"/>
      <c r="AM855" s="1037"/>
      <c r="AN855" s="1037"/>
      <c r="AO855" s="1037"/>
      <c r="AP855" s="1037"/>
    </row>
    <row r="856" spans="1:42" s="226" customFormat="1">
      <c r="A856" s="2060"/>
      <c r="B856" s="1037"/>
      <c r="C856" s="1037"/>
      <c r="D856" s="1037"/>
      <c r="E856" s="1037"/>
      <c r="F856" s="1037"/>
      <c r="G856" s="1037"/>
      <c r="H856" s="1018"/>
      <c r="I856" s="1037"/>
      <c r="J856" s="1037"/>
      <c r="K856" s="1037"/>
      <c r="L856" s="1037"/>
      <c r="M856" s="1037"/>
      <c r="N856" s="1037"/>
      <c r="O856" s="1037"/>
      <c r="P856" s="1037"/>
      <c r="Q856" s="1037"/>
      <c r="R856" s="1037"/>
      <c r="S856" s="1037"/>
      <c r="T856" s="1037"/>
      <c r="U856" s="1037"/>
      <c r="V856" s="1037"/>
      <c r="W856" s="1037"/>
      <c r="X856" s="1037"/>
      <c r="Y856" s="1037"/>
      <c r="Z856" s="1037"/>
      <c r="AA856" s="1037"/>
      <c r="AB856" s="1037"/>
      <c r="AC856" s="1037"/>
      <c r="AD856" s="1037"/>
      <c r="AE856" s="1037"/>
      <c r="AF856" s="1037"/>
      <c r="AG856" s="1037"/>
      <c r="AH856" s="1037"/>
      <c r="AI856" s="1037"/>
      <c r="AJ856" s="1037"/>
      <c r="AK856" s="1037"/>
      <c r="AL856" s="1037"/>
      <c r="AM856" s="1037"/>
      <c r="AN856" s="1037"/>
      <c r="AO856" s="1037"/>
      <c r="AP856" s="1037"/>
    </row>
    <row r="857" spans="1:42" s="226" customFormat="1">
      <c r="A857" s="2060"/>
      <c r="B857" s="1037"/>
      <c r="C857" s="1037"/>
      <c r="D857" s="1037"/>
      <c r="E857" s="1037"/>
      <c r="F857" s="1037"/>
      <c r="G857" s="1037"/>
      <c r="H857" s="1018"/>
      <c r="I857" s="1037"/>
      <c r="J857" s="1037"/>
      <c r="K857" s="1037"/>
      <c r="L857" s="1037"/>
      <c r="M857" s="1037"/>
      <c r="N857" s="1037"/>
      <c r="O857" s="1037"/>
      <c r="P857" s="1037"/>
      <c r="Q857" s="1037"/>
      <c r="R857" s="1037"/>
      <c r="S857" s="1037"/>
      <c r="T857" s="1037"/>
      <c r="U857" s="1037"/>
      <c r="V857" s="1037"/>
      <c r="W857" s="1037"/>
      <c r="X857" s="1037"/>
      <c r="Y857" s="1037"/>
      <c r="Z857" s="1037"/>
      <c r="AA857" s="1037"/>
      <c r="AB857" s="1037"/>
      <c r="AC857" s="1037"/>
      <c r="AD857" s="1037"/>
      <c r="AE857" s="1037"/>
      <c r="AF857" s="1037"/>
      <c r="AG857" s="1037"/>
      <c r="AH857" s="1037"/>
      <c r="AI857" s="1037"/>
      <c r="AJ857" s="1037"/>
      <c r="AK857" s="1037"/>
      <c r="AL857" s="1037"/>
      <c r="AM857" s="1037"/>
      <c r="AN857" s="1037"/>
      <c r="AO857" s="1037"/>
      <c r="AP857" s="1037"/>
    </row>
    <row r="858" spans="1:42" s="226" customFormat="1">
      <c r="A858" s="2060"/>
      <c r="B858" s="1037"/>
      <c r="C858" s="1037"/>
      <c r="D858" s="1037"/>
      <c r="E858" s="1037"/>
      <c r="F858" s="1037"/>
      <c r="G858" s="1037"/>
      <c r="H858" s="1018"/>
      <c r="I858" s="1037"/>
      <c r="J858" s="1037"/>
      <c r="K858" s="1037"/>
      <c r="L858" s="1037"/>
      <c r="M858" s="1037"/>
      <c r="N858" s="1037"/>
      <c r="O858" s="1037"/>
      <c r="P858" s="1037"/>
      <c r="Q858" s="1037"/>
      <c r="R858" s="1037"/>
      <c r="S858" s="1037"/>
      <c r="T858" s="1037"/>
      <c r="U858" s="1037"/>
      <c r="V858" s="1037"/>
      <c r="W858" s="1037"/>
      <c r="X858" s="1037"/>
      <c r="Y858" s="1037"/>
      <c r="Z858" s="1037"/>
      <c r="AA858" s="1037"/>
      <c r="AB858" s="1037"/>
      <c r="AC858" s="1037"/>
      <c r="AD858" s="1037"/>
      <c r="AE858" s="1037"/>
      <c r="AF858" s="1037"/>
      <c r="AG858" s="1037"/>
      <c r="AH858" s="1037"/>
      <c r="AI858" s="1037"/>
      <c r="AJ858" s="1037"/>
      <c r="AK858" s="1037"/>
      <c r="AL858" s="1037"/>
      <c r="AM858" s="1037"/>
      <c r="AN858" s="1037"/>
      <c r="AO858" s="1037"/>
      <c r="AP858" s="1037"/>
    </row>
    <row r="859" spans="1:42" s="226" customFormat="1">
      <c r="A859" s="2060"/>
      <c r="B859" s="1037"/>
      <c r="C859" s="1037"/>
      <c r="D859" s="1037"/>
      <c r="E859" s="1037"/>
      <c r="F859" s="1037"/>
      <c r="G859" s="1037"/>
      <c r="H859" s="1018"/>
      <c r="I859" s="1037"/>
      <c r="J859" s="1037"/>
      <c r="K859" s="1037"/>
      <c r="L859" s="1037"/>
      <c r="M859" s="1037"/>
      <c r="N859" s="1037"/>
      <c r="O859" s="1037"/>
      <c r="P859" s="1037"/>
      <c r="Q859" s="1037"/>
      <c r="R859" s="1037"/>
      <c r="S859" s="1037"/>
      <c r="T859" s="1037"/>
      <c r="U859" s="1037"/>
      <c r="V859" s="1037"/>
      <c r="W859" s="1037"/>
      <c r="X859" s="1037"/>
      <c r="Y859" s="1037"/>
      <c r="Z859" s="1037"/>
      <c r="AA859" s="1037"/>
      <c r="AB859" s="1037"/>
      <c r="AC859" s="1037"/>
      <c r="AD859" s="1037"/>
      <c r="AE859" s="1037"/>
      <c r="AF859" s="1037"/>
      <c r="AG859" s="1037"/>
      <c r="AH859" s="1037"/>
      <c r="AI859" s="1037"/>
      <c r="AJ859" s="1037"/>
      <c r="AK859" s="1037"/>
      <c r="AL859" s="1037"/>
      <c r="AM859" s="1037"/>
      <c r="AN859" s="1037"/>
      <c r="AO859" s="1037"/>
      <c r="AP859" s="1037"/>
    </row>
    <row r="860" spans="1:42" s="226" customFormat="1">
      <c r="A860" s="2060"/>
      <c r="B860" s="1037"/>
      <c r="C860" s="1037"/>
      <c r="D860" s="1037"/>
      <c r="E860" s="1037"/>
      <c r="F860" s="1037"/>
      <c r="G860" s="1037"/>
      <c r="H860" s="1018"/>
      <c r="I860" s="1037"/>
      <c r="J860" s="1037"/>
      <c r="K860" s="1037"/>
      <c r="L860" s="1037"/>
      <c r="M860" s="1037"/>
      <c r="N860" s="1037"/>
      <c r="O860" s="1037"/>
      <c r="P860" s="1037"/>
      <c r="Q860" s="1037"/>
      <c r="R860" s="1037"/>
      <c r="S860" s="1037"/>
      <c r="T860" s="1037"/>
      <c r="U860" s="1037"/>
      <c r="V860" s="1037"/>
      <c r="W860" s="1037"/>
      <c r="X860" s="1037"/>
      <c r="Y860" s="1037"/>
      <c r="Z860" s="1037"/>
      <c r="AA860" s="1037"/>
      <c r="AB860" s="1037"/>
      <c r="AC860" s="1037"/>
      <c r="AD860" s="1037"/>
      <c r="AE860" s="1037"/>
      <c r="AF860" s="1037"/>
      <c r="AG860" s="1037"/>
      <c r="AH860" s="1037"/>
      <c r="AI860" s="1037"/>
      <c r="AJ860" s="1037"/>
      <c r="AK860" s="1037"/>
      <c r="AL860" s="1037"/>
      <c r="AM860" s="1037"/>
      <c r="AN860" s="1037"/>
      <c r="AO860" s="1037"/>
      <c r="AP860" s="1037"/>
    </row>
    <row r="861" spans="1:42" s="226" customFormat="1">
      <c r="A861" s="2060"/>
      <c r="B861" s="1037"/>
      <c r="C861" s="1037"/>
      <c r="D861" s="1037"/>
      <c r="E861" s="1037"/>
      <c r="F861" s="1037"/>
      <c r="G861" s="1037"/>
      <c r="H861" s="1018"/>
      <c r="I861" s="1037"/>
      <c r="J861" s="1037"/>
      <c r="K861" s="1037"/>
      <c r="L861" s="1037"/>
      <c r="M861" s="1037"/>
      <c r="N861" s="1037"/>
      <c r="O861" s="1037"/>
      <c r="P861" s="1037"/>
      <c r="Q861" s="1037"/>
      <c r="R861" s="1037"/>
      <c r="S861" s="1037"/>
      <c r="T861" s="1037"/>
      <c r="U861" s="1037"/>
      <c r="V861" s="1037"/>
      <c r="W861" s="1037"/>
      <c r="X861" s="1037"/>
      <c r="Y861" s="1037"/>
      <c r="Z861" s="1037"/>
      <c r="AA861" s="1037"/>
      <c r="AB861" s="1037"/>
      <c r="AC861" s="1037"/>
      <c r="AD861" s="1037"/>
      <c r="AE861" s="1037"/>
      <c r="AF861" s="1037"/>
      <c r="AG861" s="1037"/>
      <c r="AH861" s="1037"/>
      <c r="AI861" s="1037"/>
      <c r="AJ861" s="1037"/>
      <c r="AK861" s="1037"/>
      <c r="AL861" s="1037"/>
      <c r="AM861" s="1037"/>
      <c r="AN861" s="1037"/>
      <c r="AO861" s="1037"/>
      <c r="AP861" s="1037"/>
    </row>
    <row r="862" spans="1:42" s="226" customFormat="1">
      <c r="A862" s="2060"/>
      <c r="B862" s="1037"/>
      <c r="C862" s="1037"/>
      <c r="D862" s="1037"/>
      <c r="E862" s="1037"/>
      <c r="F862" s="1037"/>
      <c r="G862" s="1037"/>
      <c r="H862" s="1018"/>
      <c r="I862" s="1037"/>
      <c r="J862" s="1037"/>
      <c r="K862" s="1037"/>
      <c r="L862" s="1037"/>
      <c r="M862" s="1037"/>
      <c r="N862" s="1037"/>
      <c r="O862" s="1037"/>
      <c r="P862" s="1037"/>
      <c r="Q862" s="1037"/>
      <c r="R862" s="1037"/>
      <c r="S862" s="1037"/>
      <c r="T862" s="1037"/>
      <c r="U862" s="1037"/>
      <c r="V862" s="1037"/>
      <c r="W862" s="1037"/>
      <c r="X862" s="1037"/>
      <c r="Y862" s="1037"/>
      <c r="Z862" s="1037"/>
      <c r="AA862" s="1037"/>
      <c r="AB862" s="1037"/>
      <c r="AC862" s="1037"/>
      <c r="AD862" s="1037"/>
      <c r="AE862" s="1037"/>
      <c r="AF862" s="1037"/>
      <c r="AG862" s="1037"/>
      <c r="AH862" s="1037"/>
      <c r="AI862" s="1037"/>
      <c r="AJ862" s="1037"/>
      <c r="AK862" s="1037"/>
      <c r="AL862" s="1037"/>
      <c r="AM862" s="1037"/>
      <c r="AN862" s="1037"/>
      <c r="AO862" s="1037"/>
      <c r="AP862" s="1037"/>
    </row>
    <row r="863" spans="1:42" s="226" customFormat="1">
      <c r="A863" s="2060"/>
      <c r="B863" s="1037"/>
      <c r="C863" s="1037"/>
      <c r="D863" s="1037"/>
      <c r="E863" s="1037"/>
      <c r="F863" s="1037"/>
      <c r="G863" s="1037"/>
      <c r="H863" s="1018"/>
      <c r="I863" s="1037"/>
      <c r="J863" s="1037"/>
      <c r="K863" s="1037"/>
      <c r="L863" s="1037"/>
      <c r="M863" s="1037"/>
      <c r="N863" s="1037"/>
      <c r="O863" s="1037"/>
      <c r="P863" s="1037"/>
      <c r="Q863" s="1037"/>
      <c r="R863" s="1037"/>
      <c r="S863" s="1037"/>
      <c r="T863" s="1037"/>
      <c r="U863" s="1037"/>
      <c r="V863" s="1037"/>
      <c r="W863" s="1037"/>
      <c r="X863" s="1037"/>
      <c r="Y863" s="1037"/>
      <c r="Z863" s="1037"/>
      <c r="AA863" s="1037"/>
      <c r="AB863" s="1037"/>
      <c r="AC863" s="1037"/>
      <c r="AD863" s="1037"/>
      <c r="AE863" s="1037"/>
      <c r="AF863" s="1037"/>
      <c r="AG863" s="1037"/>
      <c r="AH863" s="1037"/>
      <c r="AI863" s="1037"/>
      <c r="AJ863" s="1037"/>
      <c r="AK863" s="1037"/>
      <c r="AL863" s="1037"/>
      <c r="AM863" s="1037"/>
      <c r="AN863" s="1037"/>
      <c r="AO863" s="1037"/>
      <c r="AP863" s="1037"/>
    </row>
    <row r="864" spans="1:42" s="226" customFormat="1">
      <c r="A864" s="2060"/>
      <c r="B864" s="1037"/>
      <c r="C864" s="1037"/>
      <c r="D864" s="1037"/>
      <c r="E864" s="1037"/>
      <c r="F864" s="1037"/>
      <c r="G864" s="1037"/>
      <c r="H864" s="1018"/>
      <c r="I864" s="1037"/>
      <c r="J864" s="1037"/>
      <c r="K864" s="1037"/>
      <c r="L864" s="1037"/>
      <c r="M864" s="1037"/>
      <c r="N864" s="1037"/>
      <c r="O864" s="1037"/>
      <c r="P864" s="1037"/>
      <c r="Q864" s="1037"/>
      <c r="R864" s="1037"/>
      <c r="S864" s="1037"/>
      <c r="T864" s="1037"/>
      <c r="U864" s="1037"/>
      <c r="V864" s="1037"/>
      <c r="W864" s="1037"/>
      <c r="X864" s="1037"/>
      <c r="Y864" s="1037"/>
      <c r="Z864" s="1037"/>
      <c r="AA864" s="1037"/>
      <c r="AB864" s="1037"/>
      <c r="AC864" s="1037"/>
      <c r="AD864" s="1037"/>
      <c r="AE864" s="1037"/>
      <c r="AF864" s="1037"/>
      <c r="AG864" s="1037"/>
      <c r="AH864" s="1037"/>
      <c r="AI864" s="1037"/>
      <c r="AJ864" s="1037"/>
      <c r="AK864" s="1037"/>
      <c r="AL864" s="1037"/>
      <c r="AM864" s="1037"/>
      <c r="AN864" s="1037"/>
      <c r="AO864" s="1037"/>
      <c r="AP864" s="1037"/>
    </row>
    <row r="865" spans="1:42" s="226" customFormat="1">
      <c r="A865" s="2060"/>
      <c r="B865" s="1037"/>
      <c r="C865" s="1037"/>
      <c r="D865" s="1037"/>
      <c r="E865" s="1037"/>
      <c r="F865" s="1037"/>
      <c r="G865" s="1037"/>
      <c r="H865" s="1018"/>
      <c r="I865" s="1037"/>
      <c r="J865" s="1037"/>
      <c r="K865" s="1037"/>
      <c r="L865" s="1037"/>
      <c r="M865" s="1037"/>
      <c r="N865" s="1037"/>
      <c r="O865" s="1037"/>
      <c r="P865" s="1037"/>
      <c r="Q865" s="1037"/>
      <c r="R865" s="1037"/>
      <c r="S865" s="1037"/>
      <c r="T865" s="1037"/>
      <c r="U865" s="1037"/>
      <c r="V865" s="1037"/>
      <c r="W865" s="1037"/>
      <c r="X865" s="1037"/>
      <c r="Y865" s="1037"/>
      <c r="Z865" s="1037"/>
      <c r="AA865" s="1037"/>
      <c r="AB865" s="1037"/>
      <c r="AC865" s="1037"/>
      <c r="AD865" s="1037"/>
      <c r="AE865" s="1037"/>
      <c r="AF865" s="1037"/>
      <c r="AG865" s="1037"/>
      <c r="AH865" s="1037"/>
      <c r="AI865" s="1037"/>
      <c r="AJ865" s="1037"/>
      <c r="AK865" s="1037"/>
      <c r="AL865" s="1037"/>
      <c r="AM865" s="1037"/>
      <c r="AN865" s="1037"/>
      <c r="AO865" s="1037"/>
      <c r="AP865" s="1037"/>
    </row>
    <row r="866" spans="1:42" s="226" customFormat="1">
      <c r="A866" s="2060"/>
      <c r="B866" s="1037"/>
      <c r="C866" s="1037"/>
      <c r="D866" s="1037"/>
      <c r="E866" s="1037"/>
      <c r="F866" s="1037"/>
      <c r="G866" s="1037"/>
      <c r="H866" s="1018"/>
      <c r="I866" s="1037"/>
      <c r="J866" s="1037"/>
      <c r="K866" s="1037"/>
      <c r="L866" s="1037"/>
      <c r="M866" s="1037"/>
      <c r="N866" s="1037"/>
      <c r="O866" s="1037"/>
      <c r="P866" s="1037"/>
      <c r="Q866" s="1037"/>
      <c r="R866" s="1037"/>
      <c r="S866" s="1037"/>
      <c r="T866" s="1037"/>
      <c r="U866" s="1037"/>
      <c r="V866" s="1037"/>
      <c r="W866" s="1037"/>
      <c r="X866" s="1037"/>
      <c r="Y866" s="1037"/>
      <c r="Z866" s="1037"/>
      <c r="AA866" s="1037"/>
      <c r="AB866" s="1037"/>
      <c r="AC866" s="1037"/>
      <c r="AD866" s="1037"/>
      <c r="AE866" s="1037"/>
      <c r="AF866" s="1037"/>
      <c r="AG866" s="1037"/>
      <c r="AH866" s="1037"/>
      <c r="AI866" s="1037"/>
      <c r="AJ866" s="1037"/>
      <c r="AK866" s="1037"/>
      <c r="AL866" s="1037"/>
      <c r="AM866" s="1037"/>
      <c r="AN866" s="1037"/>
      <c r="AO866" s="1037"/>
      <c r="AP866" s="1037"/>
    </row>
    <row r="867" spans="1:42" s="226" customFormat="1">
      <c r="A867" s="2060"/>
      <c r="B867" s="1037"/>
      <c r="C867" s="1037"/>
      <c r="D867" s="1037"/>
      <c r="E867" s="1037"/>
      <c r="F867" s="1037"/>
      <c r="G867" s="1037"/>
      <c r="H867" s="1018"/>
      <c r="I867" s="1037"/>
      <c r="J867" s="1037"/>
      <c r="K867" s="1037"/>
      <c r="L867" s="1037"/>
      <c r="M867" s="1037"/>
      <c r="N867" s="1037"/>
      <c r="O867" s="1037"/>
      <c r="P867" s="1037"/>
      <c r="Q867" s="1037"/>
      <c r="R867" s="1037"/>
      <c r="S867" s="1037"/>
      <c r="T867" s="1037"/>
      <c r="U867" s="1037"/>
      <c r="V867" s="1037"/>
      <c r="W867" s="1037"/>
      <c r="X867" s="1037"/>
      <c r="Y867" s="1037"/>
      <c r="Z867" s="1037"/>
      <c r="AA867" s="1037"/>
      <c r="AB867" s="1037"/>
      <c r="AC867" s="1037"/>
      <c r="AD867" s="1037"/>
      <c r="AE867" s="1037"/>
      <c r="AF867" s="1037"/>
      <c r="AG867" s="1037"/>
      <c r="AH867" s="1037"/>
      <c r="AI867" s="1037"/>
      <c r="AJ867" s="1037"/>
      <c r="AK867" s="1037"/>
      <c r="AL867" s="1037"/>
      <c r="AM867" s="1037"/>
      <c r="AN867" s="1037"/>
      <c r="AO867" s="1037"/>
      <c r="AP867" s="1037"/>
    </row>
    <row r="868" spans="1:42" s="226" customFormat="1">
      <c r="A868" s="2060"/>
      <c r="B868" s="1037"/>
      <c r="C868" s="1037"/>
      <c r="D868" s="1037"/>
      <c r="E868" s="1037"/>
      <c r="F868" s="1037"/>
      <c r="G868" s="1037"/>
      <c r="H868" s="1018"/>
      <c r="I868" s="1037"/>
      <c r="J868" s="1037"/>
      <c r="K868" s="1037"/>
      <c r="L868" s="1037"/>
      <c r="M868" s="1037"/>
      <c r="N868" s="1037"/>
      <c r="O868" s="1037"/>
      <c r="P868" s="1037"/>
      <c r="Q868" s="1037"/>
      <c r="R868" s="1037"/>
      <c r="S868" s="1037"/>
      <c r="T868" s="1037"/>
      <c r="U868" s="1037"/>
      <c r="V868" s="1037"/>
      <c r="W868" s="1037"/>
      <c r="X868" s="1037"/>
      <c r="Y868" s="1037"/>
      <c r="Z868" s="1037"/>
      <c r="AA868" s="1037"/>
      <c r="AB868" s="1037"/>
      <c r="AC868" s="1037"/>
      <c r="AD868" s="1037"/>
      <c r="AE868" s="1037"/>
      <c r="AF868" s="1037"/>
      <c r="AG868" s="1037"/>
      <c r="AH868" s="1037"/>
      <c r="AI868" s="1037"/>
      <c r="AJ868" s="1037"/>
      <c r="AK868" s="1037"/>
      <c r="AL868" s="1037"/>
      <c r="AM868" s="1037"/>
      <c r="AN868" s="1037"/>
      <c r="AO868" s="1037"/>
      <c r="AP868" s="1037"/>
    </row>
    <row r="869" spans="1:42" s="226" customFormat="1">
      <c r="A869" s="2060"/>
      <c r="B869" s="1037"/>
      <c r="C869" s="1037"/>
      <c r="D869" s="1037"/>
      <c r="E869" s="1037"/>
      <c r="F869" s="1037"/>
      <c r="G869" s="1037"/>
      <c r="H869" s="1018"/>
      <c r="I869" s="1037"/>
      <c r="J869" s="1037"/>
      <c r="K869" s="1037"/>
      <c r="L869" s="1037"/>
      <c r="M869" s="1037"/>
      <c r="N869" s="1037"/>
      <c r="O869" s="1037"/>
      <c r="P869" s="1037"/>
      <c r="Q869" s="1037"/>
      <c r="R869" s="1037"/>
      <c r="S869" s="1037"/>
      <c r="T869" s="1037"/>
      <c r="U869" s="1037"/>
      <c r="V869" s="1037"/>
      <c r="W869" s="1037"/>
      <c r="X869" s="1037"/>
      <c r="Y869" s="1037"/>
      <c r="Z869" s="1037"/>
      <c r="AA869" s="1037"/>
      <c r="AB869" s="1037"/>
      <c r="AC869" s="1037"/>
      <c r="AD869" s="1037"/>
      <c r="AE869" s="1037"/>
      <c r="AF869" s="1037"/>
      <c r="AG869" s="1037"/>
      <c r="AH869" s="1037"/>
      <c r="AI869" s="1037"/>
      <c r="AJ869" s="1037"/>
      <c r="AK869" s="1037"/>
      <c r="AL869" s="1037"/>
      <c r="AM869" s="1037"/>
      <c r="AN869" s="1037"/>
      <c r="AO869" s="1037"/>
      <c r="AP869" s="1037"/>
    </row>
    <row r="870" spans="1:42" s="226" customFormat="1">
      <c r="A870" s="2060"/>
      <c r="B870" s="1037"/>
      <c r="C870" s="1037"/>
      <c r="D870" s="1037"/>
      <c r="E870" s="1037"/>
      <c r="F870" s="1037"/>
      <c r="G870" s="1037"/>
      <c r="H870" s="1018"/>
      <c r="I870" s="1037"/>
      <c r="J870" s="1037"/>
      <c r="K870" s="1037"/>
      <c r="L870" s="1037"/>
      <c r="M870" s="1037"/>
      <c r="N870" s="1037"/>
      <c r="O870" s="1037"/>
      <c r="P870" s="1037"/>
      <c r="Q870" s="1037"/>
      <c r="R870" s="1037"/>
      <c r="S870" s="1037"/>
      <c r="T870" s="1037"/>
      <c r="U870" s="1037"/>
      <c r="V870" s="1037"/>
      <c r="W870" s="1037"/>
      <c r="X870" s="1037"/>
      <c r="Y870" s="1037"/>
      <c r="Z870" s="1037"/>
      <c r="AA870" s="1037"/>
      <c r="AB870" s="1037"/>
      <c r="AC870" s="1037"/>
      <c r="AD870" s="1037"/>
      <c r="AE870" s="1037"/>
      <c r="AF870" s="1037"/>
      <c r="AG870" s="1037"/>
      <c r="AH870" s="1037"/>
      <c r="AI870" s="1037"/>
      <c r="AJ870" s="1037"/>
      <c r="AK870" s="1037"/>
      <c r="AL870" s="1037"/>
      <c r="AM870" s="1037"/>
      <c r="AN870" s="1037"/>
      <c r="AO870" s="1037"/>
      <c r="AP870" s="1037"/>
    </row>
    <row r="871" spans="1:42" s="226" customFormat="1">
      <c r="A871" s="2060"/>
      <c r="B871" s="1037"/>
      <c r="C871" s="1037"/>
      <c r="D871" s="1037"/>
      <c r="E871" s="1037"/>
      <c r="F871" s="1037"/>
      <c r="G871" s="1037"/>
      <c r="H871" s="1018"/>
      <c r="I871" s="1037"/>
      <c r="J871" s="1037"/>
      <c r="K871" s="1037"/>
      <c r="L871" s="1037"/>
      <c r="M871" s="1037"/>
      <c r="N871" s="1037"/>
      <c r="O871" s="1037"/>
      <c r="P871" s="1037"/>
      <c r="Q871" s="1037"/>
      <c r="R871" s="1037"/>
      <c r="S871" s="1037"/>
      <c r="T871" s="1037"/>
      <c r="U871" s="1037"/>
      <c r="V871" s="1037"/>
      <c r="W871" s="1037"/>
      <c r="X871" s="1037"/>
      <c r="Y871" s="1037"/>
      <c r="Z871" s="1037"/>
      <c r="AA871" s="1037"/>
      <c r="AB871" s="1037"/>
      <c r="AC871" s="1037"/>
      <c r="AD871" s="1037"/>
      <c r="AE871" s="1037"/>
      <c r="AF871" s="1037"/>
      <c r="AG871" s="1037"/>
      <c r="AH871" s="1037"/>
      <c r="AI871" s="1037"/>
      <c r="AJ871" s="1037"/>
      <c r="AK871" s="1037"/>
      <c r="AL871" s="1037"/>
      <c r="AM871" s="1037"/>
      <c r="AN871" s="1037"/>
      <c r="AO871" s="1037"/>
      <c r="AP871" s="1037"/>
    </row>
    <row r="872" spans="1:42" s="226" customFormat="1">
      <c r="A872" s="2060"/>
      <c r="B872" s="1037"/>
      <c r="C872" s="1037"/>
      <c r="D872" s="1037"/>
      <c r="E872" s="1037"/>
      <c r="F872" s="1037"/>
      <c r="G872" s="1037"/>
      <c r="H872" s="1018"/>
      <c r="I872" s="1037"/>
      <c r="J872" s="1037"/>
      <c r="K872" s="1037"/>
      <c r="L872" s="1037"/>
      <c r="M872" s="1037"/>
      <c r="N872" s="1037"/>
      <c r="O872" s="1037"/>
      <c r="P872" s="1037"/>
      <c r="Q872" s="1037"/>
      <c r="R872" s="1037"/>
      <c r="S872" s="1037"/>
      <c r="T872" s="1037"/>
      <c r="U872" s="1037"/>
      <c r="V872" s="1037"/>
      <c r="W872" s="1037"/>
      <c r="X872" s="1037"/>
      <c r="Y872" s="1037"/>
      <c r="Z872" s="1037"/>
      <c r="AA872" s="1037"/>
      <c r="AB872" s="1037"/>
      <c r="AC872" s="1037"/>
      <c r="AD872" s="1037"/>
      <c r="AE872" s="1037"/>
      <c r="AF872" s="1037"/>
      <c r="AG872" s="1037"/>
      <c r="AH872" s="1037"/>
      <c r="AI872" s="1037"/>
      <c r="AJ872" s="1037"/>
      <c r="AK872" s="1037"/>
      <c r="AL872" s="1037"/>
      <c r="AM872" s="1037"/>
      <c r="AN872" s="1037"/>
      <c r="AO872" s="1037"/>
      <c r="AP872" s="1037"/>
    </row>
    <row r="873" spans="1:42" s="226" customFormat="1">
      <c r="A873" s="2060"/>
      <c r="B873" s="1037"/>
      <c r="C873" s="1037"/>
      <c r="D873" s="1037"/>
      <c r="E873" s="1037"/>
      <c r="F873" s="1037"/>
      <c r="G873" s="1037"/>
      <c r="H873" s="1018"/>
      <c r="I873" s="1037"/>
      <c r="J873" s="1037"/>
      <c r="K873" s="1037"/>
      <c r="L873" s="1037"/>
      <c r="M873" s="1037"/>
      <c r="N873" s="1037"/>
      <c r="O873" s="1037"/>
      <c r="P873" s="1037"/>
      <c r="Q873" s="1037"/>
      <c r="R873" s="1037"/>
      <c r="S873" s="1037"/>
      <c r="T873" s="1037"/>
      <c r="U873" s="1037"/>
      <c r="V873" s="1037"/>
      <c r="W873" s="1037"/>
      <c r="X873" s="1037"/>
      <c r="Y873" s="1037"/>
      <c r="Z873" s="1037"/>
      <c r="AA873" s="1037"/>
      <c r="AB873" s="1037"/>
      <c r="AC873" s="1037"/>
      <c r="AD873" s="1037"/>
      <c r="AE873" s="1037"/>
      <c r="AF873" s="1037"/>
      <c r="AG873" s="1037"/>
      <c r="AH873" s="1037"/>
      <c r="AI873" s="1037"/>
      <c r="AJ873" s="1037"/>
      <c r="AK873" s="1037"/>
      <c r="AL873" s="1037"/>
      <c r="AM873" s="1037"/>
      <c r="AN873" s="1037"/>
      <c r="AO873" s="1037"/>
      <c r="AP873" s="1037"/>
    </row>
    <row r="874" spans="1:42" s="226" customFormat="1">
      <c r="A874" s="2060"/>
      <c r="B874" s="1037"/>
      <c r="C874" s="1037"/>
      <c r="D874" s="1037"/>
      <c r="E874" s="1037"/>
      <c r="F874" s="1037"/>
      <c r="G874" s="1037"/>
      <c r="H874" s="1018"/>
      <c r="I874" s="1037"/>
      <c r="J874" s="1037"/>
      <c r="K874" s="1037"/>
      <c r="L874" s="1037"/>
      <c r="M874" s="1037"/>
      <c r="N874" s="1037"/>
      <c r="O874" s="1037"/>
      <c r="P874" s="1037"/>
      <c r="Q874" s="1037"/>
      <c r="R874" s="1037"/>
      <c r="S874" s="1037"/>
      <c r="T874" s="1037"/>
      <c r="U874" s="1037"/>
      <c r="V874" s="1037"/>
      <c r="W874" s="1037"/>
      <c r="X874" s="1037"/>
      <c r="Y874" s="1037"/>
      <c r="Z874" s="1037"/>
      <c r="AA874" s="1037"/>
      <c r="AB874" s="1037"/>
      <c r="AC874" s="1037"/>
      <c r="AD874" s="1037"/>
      <c r="AE874" s="1037"/>
      <c r="AF874" s="1037"/>
      <c r="AG874" s="1037"/>
      <c r="AH874" s="1037"/>
      <c r="AI874" s="1037"/>
      <c r="AJ874" s="1037"/>
      <c r="AK874" s="1037"/>
      <c r="AL874" s="1037"/>
      <c r="AM874" s="1037"/>
      <c r="AN874" s="1037"/>
      <c r="AO874" s="1037"/>
      <c r="AP874" s="1037"/>
    </row>
    <row r="875" spans="1:42" s="226" customFormat="1">
      <c r="A875" s="2060"/>
      <c r="B875" s="1037"/>
      <c r="C875" s="1037"/>
      <c r="D875" s="1037"/>
      <c r="E875" s="1037"/>
      <c r="F875" s="1037"/>
      <c r="G875" s="1037"/>
      <c r="H875" s="1018"/>
      <c r="I875" s="1037"/>
      <c r="J875" s="1037"/>
      <c r="K875" s="1037"/>
      <c r="L875" s="1037"/>
      <c r="M875" s="1037"/>
      <c r="N875" s="1037"/>
      <c r="O875" s="1037"/>
      <c r="P875" s="1037"/>
      <c r="Q875" s="1037"/>
      <c r="R875" s="1037"/>
      <c r="S875" s="1037"/>
      <c r="T875" s="1037"/>
      <c r="U875" s="1037"/>
      <c r="V875" s="1037"/>
      <c r="W875" s="1037"/>
      <c r="X875" s="1037"/>
      <c r="Y875" s="1037"/>
      <c r="Z875" s="1037"/>
      <c r="AA875" s="1037"/>
      <c r="AB875" s="1037"/>
      <c r="AC875" s="1037"/>
      <c r="AD875" s="1037"/>
      <c r="AE875" s="1037"/>
      <c r="AF875" s="1037"/>
      <c r="AG875" s="1037"/>
      <c r="AH875" s="1037"/>
      <c r="AI875" s="1037"/>
      <c r="AJ875" s="1037"/>
      <c r="AK875" s="1037"/>
      <c r="AL875" s="1037"/>
      <c r="AM875" s="1037"/>
      <c r="AN875" s="1037"/>
      <c r="AO875" s="1037"/>
      <c r="AP875" s="1037"/>
    </row>
    <row r="876" spans="1:42" s="226" customFormat="1">
      <c r="A876" s="2060"/>
      <c r="B876" s="1037"/>
      <c r="C876" s="1037"/>
      <c r="D876" s="1037"/>
      <c r="E876" s="1037"/>
      <c r="F876" s="1037"/>
      <c r="G876" s="1037"/>
      <c r="H876" s="1018"/>
      <c r="I876" s="1037"/>
      <c r="J876" s="1037"/>
      <c r="K876" s="1037"/>
      <c r="L876" s="1037"/>
      <c r="M876" s="1037"/>
      <c r="N876" s="1037"/>
      <c r="O876" s="1037"/>
      <c r="P876" s="1037"/>
      <c r="Q876" s="1037"/>
      <c r="R876" s="1037"/>
      <c r="S876" s="1037"/>
      <c r="T876" s="1037"/>
      <c r="U876" s="1037"/>
      <c r="V876" s="1037"/>
      <c r="W876" s="1037"/>
      <c r="X876" s="1037"/>
      <c r="Y876" s="1037"/>
      <c r="Z876" s="1037"/>
      <c r="AA876" s="1037"/>
      <c r="AB876" s="1037"/>
      <c r="AC876" s="1037"/>
      <c r="AD876" s="1037"/>
      <c r="AE876" s="1037"/>
      <c r="AF876" s="1037"/>
      <c r="AG876" s="1037"/>
      <c r="AH876" s="1037"/>
      <c r="AI876" s="1037"/>
      <c r="AJ876" s="1037"/>
      <c r="AK876" s="1037"/>
      <c r="AL876" s="1037"/>
      <c r="AM876" s="1037"/>
      <c r="AN876" s="1037"/>
      <c r="AO876" s="1037"/>
      <c r="AP876" s="1037"/>
    </row>
    <row r="877" spans="1:42" s="226" customFormat="1">
      <c r="A877" s="2060"/>
      <c r="B877" s="1037"/>
      <c r="C877" s="1037"/>
      <c r="D877" s="1037"/>
      <c r="E877" s="1037"/>
      <c r="F877" s="1037"/>
      <c r="G877" s="1037"/>
      <c r="H877" s="1018"/>
      <c r="I877" s="1037"/>
      <c r="J877" s="1037"/>
      <c r="K877" s="1037"/>
      <c r="L877" s="1037"/>
      <c r="M877" s="1037"/>
      <c r="N877" s="1037"/>
      <c r="O877" s="1037"/>
      <c r="P877" s="1037"/>
      <c r="Q877" s="1037"/>
      <c r="R877" s="1037"/>
      <c r="S877" s="1037"/>
      <c r="T877" s="1037"/>
      <c r="U877" s="1037"/>
      <c r="V877" s="1037"/>
      <c r="W877" s="1037"/>
      <c r="X877" s="1037"/>
      <c r="Y877" s="1037"/>
      <c r="Z877" s="1037"/>
      <c r="AA877" s="1037"/>
      <c r="AB877" s="1037"/>
      <c r="AC877" s="1037"/>
      <c r="AD877" s="1037"/>
      <c r="AE877" s="1037"/>
      <c r="AF877" s="1037"/>
      <c r="AG877" s="1037"/>
      <c r="AH877" s="1037"/>
      <c r="AI877" s="1037"/>
      <c r="AJ877" s="1037"/>
      <c r="AK877" s="1037"/>
      <c r="AL877" s="1037"/>
      <c r="AM877" s="1037"/>
      <c r="AN877" s="1037"/>
      <c r="AO877" s="1037"/>
      <c r="AP877" s="1037"/>
    </row>
    <row r="878" spans="1:42" s="226" customFormat="1">
      <c r="A878" s="2060"/>
      <c r="B878" s="1037"/>
      <c r="C878" s="1037"/>
      <c r="D878" s="1037"/>
      <c r="E878" s="1037"/>
      <c r="F878" s="1037"/>
      <c r="G878" s="1037"/>
      <c r="H878" s="1018"/>
      <c r="I878" s="1037"/>
      <c r="J878" s="1037"/>
      <c r="K878" s="1037"/>
      <c r="L878" s="1037"/>
      <c r="M878" s="1037"/>
      <c r="N878" s="1037"/>
      <c r="O878" s="1037"/>
      <c r="P878" s="1037"/>
      <c r="Q878" s="1037"/>
      <c r="R878" s="1037"/>
      <c r="S878" s="1037"/>
      <c r="T878" s="1037"/>
      <c r="U878" s="1037"/>
      <c r="V878" s="1037"/>
      <c r="W878" s="1037"/>
      <c r="X878" s="1037"/>
      <c r="Y878" s="1037"/>
      <c r="Z878" s="1037"/>
      <c r="AA878" s="1037"/>
      <c r="AB878" s="1037"/>
      <c r="AC878" s="1037"/>
      <c r="AD878" s="1037"/>
      <c r="AE878" s="1037"/>
      <c r="AF878" s="1037"/>
      <c r="AG878" s="1037"/>
      <c r="AH878" s="1037"/>
      <c r="AI878" s="1037"/>
      <c r="AJ878" s="1037"/>
      <c r="AK878" s="1037"/>
      <c r="AL878" s="1037"/>
      <c r="AM878" s="1037"/>
      <c r="AN878" s="1037"/>
      <c r="AO878" s="1037"/>
      <c r="AP878" s="1037"/>
    </row>
    <row r="879" spans="1:42" s="226" customFormat="1">
      <c r="A879" s="2060"/>
      <c r="B879" s="1037"/>
      <c r="C879" s="1037"/>
      <c r="D879" s="1037"/>
      <c r="E879" s="1037"/>
      <c r="F879" s="1037"/>
      <c r="G879" s="1037"/>
      <c r="H879" s="1018"/>
      <c r="I879" s="1037"/>
      <c r="J879" s="1037"/>
      <c r="K879" s="1037"/>
      <c r="L879" s="1037"/>
      <c r="M879" s="1037"/>
      <c r="N879" s="1037"/>
      <c r="O879" s="1037"/>
      <c r="P879" s="1037"/>
      <c r="Q879" s="1037"/>
      <c r="R879" s="1037"/>
      <c r="S879" s="1037"/>
      <c r="T879" s="1037"/>
      <c r="U879" s="1037"/>
      <c r="V879" s="1037"/>
      <c r="W879" s="1037"/>
      <c r="X879" s="1037"/>
      <c r="Y879" s="1037"/>
      <c r="Z879" s="1037"/>
      <c r="AA879" s="1037"/>
      <c r="AB879" s="1037"/>
      <c r="AC879" s="1037"/>
      <c r="AD879" s="1037"/>
      <c r="AE879" s="1037"/>
      <c r="AF879" s="1037"/>
      <c r="AG879" s="1037"/>
      <c r="AH879" s="1037"/>
      <c r="AI879" s="1037"/>
      <c r="AJ879" s="1037"/>
      <c r="AK879" s="1037"/>
      <c r="AL879" s="1037"/>
      <c r="AM879" s="1037"/>
      <c r="AN879" s="1037"/>
      <c r="AO879" s="1037"/>
      <c r="AP879" s="1037"/>
    </row>
    <row r="880" spans="1:42" s="226" customFormat="1">
      <c r="A880" s="2060"/>
      <c r="B880" s="1037"/>
      <c r="C880" s="1037"/>
      <c r="D880" s="1037"/>
      <c r="E880" s="1037"/>
      <c r="F880" s="1037"/>
      <c r="G880" s="1037"/>
      <c r="H880" s="1018"/>
      <c r="I880" s="1037"/>
      <c r="J880" s="1037"/>
      <c r="K880" s="1037"/>
      <c r="L880" s="1037"/>
      <c r="M880" s="1037"/>
      <c r="N880" s="1037"/>
      <c r="O880" s="1037"/>
      <c r="P880" s="1037"/>
      <c r="Q880" s="1037"/>
      <c r="R880" s="1037"/>
      <c r="S880" s="1037"/>
      <c r="T880" s="1037"/>
      <c r="U880" s="1037"/>
      <c r="V880" s="1037"/>
      <c r="W880" s="1037"/>
      <c r="X880" s="1037"/>
      <c r="Y880" s="1037"/>
      <c r="Z880" s="1037"/>
      <c r="AA880" s="1037"/>
      <c r="AB880" s="1037"/>
      <c r="AC880" s="1037"/>
      <c r="AD880" s="1037"/>
      <c r="AE880" s="1037"/>
      <c r="AF880" s="1037"/>
      <c r="AG880" s="1037"/>
      <c r="AH880" s="1037"/>
      <c r="AI880" s="1037"/>
      <c r="AJ880" s="1037"/>
      <c r="AK880" s="1037"/>
      <c r="AL880" s="1037"/>
      <c r="AM880" s="1037"/>
      <c r="AN880" s="1037"/>
      <c r="AO880" s="1037"/>
      <c r="AP880" s="1037"/>
    </row>
    <row r="881" spans="1:42" s="226" customFormat="1">
      <c r="A881" s="2060"/>
      <c r="B881" s="1037"/>
      <c r="C881" s="1037"/>
      <c r="D881" s="1037"/>
      <c r="E881" s="1037"/>
      <c r="F881" s="1037"/>
      <c r="G881" s="1037"/>
      <c r="H881" s="1018"/>
      <c r="I881" s="1037"/>
      <c r="J881" s="1037"/>
      <c r="K881" s="1037"/>
      <c r="L881" s="1037"/>
      <c r="M881" s="1037"/>
      <c r="N881" s="1037"/>
      <c r="O881" s="1037"/>
      <c r="P881" s="1037"/>
      <c r="Q881" s="1037"/>
      <c r="R881" s="1037"/>
      <c r="S881" s="1037"/>
      <c r="T881" s="1037"/>
      <c r="U881" s="1037"/>
      <c r="V881" s="1037"/>
      <c r="W881" s="1037"/>
      <c r="X881" s="1037"/>
      <c r="Y881" s="1037"/>
      <c r="Z881" s="1037"/>
      <c r="AA881" s="1037"/>
      <c r="AB881" s="1037"/>
      <c r="AC881" s="1037"/>
      <c r="AD881" s="1037"/>
      <c r="AE881" s="1037"/>
      <c r="AF881" s="1037"/>
      <c r="AG881" s="1037"/>
      <c r="AH881" s="1037"/>
      <c r="AI881" s="1037"/>
      <c r="AJ881" s="1037"/>
      <c r="AK881" s="1037"/>
      <c r="AL881" s="1037"/>
      <c r="AM881" s="1037"/>
      <c r="AN881" s="1037"/>
      <c r="AO881" s="1037"/>
      <c r="AP881" s="1037"/>
    </row>
    <row r="882" spans="1:42" s="226" customFormat="1">
      <c r="A882" s="2060"/>
      <c r="B882" s="1037"/>
      <c r="C882" s="1037"/>
      <c r="D882" s="1037"/>
      <c r="E882" s="1037"/>
      <c r="F882" s="1037"/>
      <c r="G882" s="1037"/>
      <c r="H882" s="1018"/>
      <c r="I882" s="1037"/>
      <c r="J882" s="1037"/>
      <c r="K882" s="1037"/>
      <c r="L882" s="1037"/>
      <c r="M882" s="1037"/>
      <c r="N882" s="1037"/>
      <c r="O882" s="1037"/>
      <c r="P882" s="1037"/>
      <c r="Q882" s="1037"/>
      <c r="R882" s="1037"/>
      <c r="S882" s="1037"/>
      <c r="T882" s="1037"/>
      <c r="U882" s="1037"/>
      <c r="V882" s="1037"/>
      <c r="W882" s="1037"/>
      <c r="X882" s="1037"/>
      <c r="Y882" s="1037"/>
      <c r="Z882" s="1037"/>
      <c r="AA882" s="1037"/>
      <c r="AB882" s="1037"/>
      <c r="AC882" s="1037"/>
      <c r="AD882" s="1037"/>
      <c r="AE882" s="1037"/>
      <c r="AF882" s="1037"/>
      <c r="AG882" s="1037"/>
      <c r="AH882" s="1037"/>
      <c r="AI882" s="1037"/>
      <c r="AJ882" s="1037"/>
      <c r="AK882" s="1037"/>
      <c r="AL882" s="1037"/>
      <c r="AM882" s="1037"/>
      <c r="AN882" s="1037"/>
      <c r="AO882" s="1037"/>
      <c r="AP882" s="1037"/>
    </row>
    <row r="883" spans="1:42" s="226" customFormat="1">
      <c r="A883" s="2060"/>
      <c r="B883" s="1037"/>
      <c r="C883" s="1037"/>
      <c r="D883" s="1037"/>
      <c r="E883" s="1037"/>
      <c r="F883" s="1037"/>
      <c r="G883" s="1037"/>
      <c r="H883" s="1018"/>
      <c r="I883" s="1037"/>
      <c r="J883" s="1037"/>
      <c r="K883" s="1037"/>
      <c r="L883" s="1037"/>
      <c r="M883" s="1037"/>
      <c r="N883" s="1037"/>
      <c r="O883" s="1037"/>
      <c r="P883" s="1037"/>
      <c r="Q883" s="1037"/>
      <c r="R883" s="1037"/>
      <c r="S883" s="1037"/>
      <c r="T883" s="1037"/>
      <c r="U883" s="1037"/>
      <c r="V883" s="1037"/>
      <c r="W883" s="1037"/>
      <c r="X883" s="1037"/>
      <c r="Y883" s="1037"/>
      <c r="Z883" s="1037"/>
      <c r="AA883" s="1037"/>
      <c r="AB883" s="1037"/>
      <c r="AC883" s="1037"/>
      <c r="AD883" s="1037"/>
      <c r="AE883" s="1037"/>
      <c r="AF883" s="1037"/>
      <c r="AG883" s="1037"/>
      <c r="AH883" s="1037"/>
      <c r="AI883" s="1037"/>
      <c r="AJ883" s="1037"/>
      <c r="AK883" s="1037"/>
      <c r="AL883" s="1037"/>
      <c r="AM883" s="1037"/>
      <c r="AN883" s="1037"/>
      <c r="AO883" s="1037"/>
      <c r="AP883" s="1037"/>
    </row>
    <row r="884" spans="1:42" s="226" customFormat="1">
      <c r="A884" s="2060"/>
      <c r="B884" s="1037"/>
      <c r="C884" s="1037"/>
      <c r="D884" s="1037"/>
      <c r="E884" s="1037"/>
      <c r="F884" s="1037"/>
      <c r="G884" s="1037"/>
      <c r="H884" s="1018"/>
      <c r="I884" s="1037"/>
      <c r="J884" s="1037"/>
      <c r="K884" s="1037"/>
      <c r="L884" s="1037"/>
      <c r="M884" s="1037"/>
      <c r="N884" s="1037"/>
      <c r="O884" s="1037"/>
      <c r="P884" s="1037"/>
      <c r="Q884" s="1037"/>
      <c r="R884" s="1037"/>
      <c r="S884" s="1037"/>
      <c r="T884" s="1037"/>
      <c r="U884" s="1037"/>
      <c r="V884" s="1037"/>
      <c r="W884" s="1037"/>
      <c r="X884" s="1037"/>
      <c r="Y884" s="1037"/>
      <c r="Z884" s="1037"/>
      <c r="AA884" s="1037"/>
      <c r="AB884" s="1037"/>
      <c r="AC884" s="1037"/>
      <c r="AD884" s="1037"/>
      <c r="AE884" s="1037"/>
      <c r="AF884" s="1037"/>
      <c r="AG884" s="1037"/>
      <c r="AH884" s="1037"/>
      <c r="AI884" s="1037"/>
      <c r="AJ884" s="1037"/>
      <c r="AK884" s="1037"/>
      <c r="AL884" s="1037"/>
      <c r="AM884" s="1037"/>
      <c r="AN884" s="1037"/>
      <c r="AO884" s="1037"/>
      <c r="AP884" s="1037"/>
    </row>
    <row r="885" spans="1:42" s="226" customFormat="1">
      <c r="A885" s="2060"/>
      <c r="B885" s="1037"/>
      <c r="C885" s="1037"/>
      <c r="D885" s="1037"/>
      <c r="E885" s="1037"/>
      <c r="F885" s="1037"/>
      <c r="G885" s="1037"/>
      <c r="H885" s="1018"/>
      <c r="I885" s="1037"/>
      <c r="J885" s="1037"/>
      <c r="K885" s="1037"/>
      <c r="L885" s="1037"/>
      <c r="M885" s="1037"/>
      <c r="N885" s="1037"/>
      <c r="O885" s="1037"/>
      <c r="P885" s="1037"/>
      <c r="Q885" s="1037"/>
      <c r="R885" s="1037"/>
      <c r="S885" s="1037"/>
      <c r="T885" s="1037"/>
      <c r="U885" s="1037"/>
      <c r="V885" s="1037"/>
      <c r="W885" s="1037"/>
      <c r="X885" s="1037"/>
      <c r="Y885" s="1037"/>
      <c r="Z885" s="1037"/>
      <c r="AA885" s="1037"/>
      <c r="AB885" s="1037"/>
      <c r="AC885" s="1037"/>
      <c r="AD885" s="1037"/>
      <c r="AE885" s="1037"/>
      <c r="AF885" s="1037"/>
      <c r="AG885" s="1037"/>
      <c r="AH885" s="1037"/>
      <c r="AI885" s="1037"/>
      <c r="AJ885" s="1037"/>
      <c r="AK885" s="1037"/>
      <c r="AL885" s="1037"/>
      <c r="AM885" s="1037"/>
      <c r="AN885" s="1037"/>
      <c r="AO885" s="1037"/>
      <c r="AP885" s="1037"/>
    </row>
    <row r="886" spans="1:42" s="226" customFormat="1">
      <c r="A886" s="2060"/>
      <c r="B886" s="1037"/>
      <c r="C886" s="1037"/>
      <c r="D886" s="1037"/>
      <c r="E886" s="1037"/>
      <c r="F886" s="1037"/>
      <c r="G886" s="1037"/>
      <c r="H886" s="1018"/>
      <c r="I886" s="1037"/>
      <c r="J886" s="1037"/>
      <c r="K886" s="1037"/>
      <c r="L886" s="1037"/>
      <c r="M886" s="1037"/>
      <c r="N886" s="1037"/>
      <c r="O886" s="1037"/>
      <c r="P886" s="1037"/>
      <c r="Q886" s="1037"/>
      <c r="R886" s="1037"/>
      <c r="S886" s="1037"/>
      <c r="T886" s="1037"/>
      <c r="U886" s="1037"/>
      <c r="V886" s="1037"/>
      <c r="W886" s="1037"/>
      <c r="X886" s="1037"/>
      <c r="Y886" s="1037"/>
      <c r="Z886" s="1037"/>
      <c r="AA886" s="1037"/>
      <c r="AB886" s="1037"/>
      <c r="AC886" s="1037"/>
      <c r="AD886" s="1037"/>
      <c r="AE886" s="1037"/>
      <c r="AF886" s="1037"/>
      <c r="AG886" s="1037"/>
      <c r="AH886" s="1037"/>
      <c r="AI886" s="1037"/>
      <c r="AJ886" s="1037"/>
      <c r="AK886" s="1037"/>
      <c r="AL886" s="1037"/>
      <c r="AM886" s="1037"/>
      <c r="AN886" s="1037"/>
      <c r="AO886" s="1037"/>
      <c r="AP886" s="1037"/>
    </row>
    <row r="887" spans="1:42" s="226" customFormat="1">
      <c r="A887" s="2060"/>
      <c r="B887" s="1037"/>
      <c r="C887" s="1037"/>
      <c r="D887" s="1037"/>
      <c r="E887" s="1037"/>
      <c r="F887" s="1037"/>
      <c r="G887" s="1037"/>
      <c r="H887" s="1018"/>
      <c r="I887" s="1037"/>
      <c r="J887" s="1037"/>
      <c r="K887" s="1037"/>
      <c r="L887" s="1037"/>
      <c r="M887" s="1037"/>
      <c r="N887" s="1037"/>
      <c r="O887" s="1037"/>
      <c r="P887" s="1037"/>
      <c r="Q887" s="1037"/>
      <c r="R887" s="1037"/>
      <c r="S887" s="1037"/>
      <c r="T887" s="1037"/>
      <c r="U887" s="1037"/>
      <c r="V887" s="1037"/>
      <c r="W887" s="1037"/>
      <c r="X887" s="1037"/>
      <c r="Y887" s="1037"/>
      <c r="Z887" s="1037"/>
      <c r="AA887" s="1037"/>
      <c r="AB887" s="1037"/>
      <c r="AC887" s="1037"/>
      <c r="AD887" s="1037"/>
      <c r="AE887" s="1037"/>
      <c r="AF887" s="1037"/>
      <c r="AG887" s="1037"/>
      <c r="AH887" s="1037"/>
      <c r="AI887" s="1037"/>
      <c r="AJ887" s="1037"/>
      <c r="AK887" s="1037"/>
      <c r="AL887" s="1037"/>
      <c r="AM887" s="1037"/>
      <c r="AN887" s="1037"/>
      <c r="AO887" s="1037"/>
      <c r="AP887" s="1037"/>
    </row>
    <row r="888" spans="1:42" s="226" customFormat="1">
      <c r="A888" s="2060"/>
      <c r="B888" s="1037"/>
      <c r="C888" s="1037"/>
      <c r="D888" s="1037"/>
      <c r="E888" s="1037"/>
      <c r="F888" s="1037"/>
      <c r="G888" s="1037"/>
      <c r="H888" s="1018"/>
      <c r="I888" s="1037"/>
      <c r="J888" s="1037"/>
      <c r="K888" s="1037"/>
      <c r="L888" s="1037"/>
      <c r="M888" s="1037"/>
      <c r="N888" s="1037"/>
      <c r="O888" s="1037"/>
      <c r="P888" s="1037"/>
      <c r="Q888" s="1037"/>
      <c r="R888" s="1037"/>
      <c r="S888" s="1037"/>
      <c r="T888" s="1037"/>
      <c r="U888" s="1037"/>
      <c r="V888" s="1037"/>
      <c r="W888" s="1037"/>
      <c r="X888" s="1037"/>
      <c r="Y888" s="1037"/>
      <c r="Z888" s="1037"/>
      <c r="AA888" s="1037"/>
      <c r="AB888" s="1037"/>
      <c r="AC888" s="1037"/>
      <c r="AD888" s="1037"/>
      <c r="AE888" s="1037"/>
      <c r="AF888" s="1037"/>
      <c r="AG888" s="1037"/>
      <c r="AH888" s="1037"/>
      <c r="AI888" s="1037"/>
      <c r="AJ888" s="1037"/>
      <c r="AK888" s="1037"/>
      <c r="AL888" s="1037"/>
      <c r="AM888" s="1037"/>
      <c r="AN888" s="1037"/>
      <c r="AO888" s="1037"/>
      <c r="AP888" s="1037"/>
    </row>
    <row r="889" spans="1:42" s="226" customFormat="1">
      <c r="A889" s="2060"/>
      <c r="B889" s="1037"/>
      <c r="C889" s="1037"/>
      <c r="D889" s="1037"/>
      <c r="E889" s="1037"/>
      <c r="F889" s="1037"/>
      <c r="G889" s="1037"/>
      <c r="H889" s="1018"/>
      <c r="I889" s="1037"/>
      <c r="J889" s="1037"/>
      <c r="K889" s="1037"/>
      <c r="L889" s="1037"/>
      <c r="M889" s="1037"/>
      <c r="N889" s="1037"/>
      <c r="O889" s="1037"/>
      <c r="P889" s="1037"/>
      <c r="Q889" s="1037"/>
      <c r="R889" s="1037"/>
      <c r="S889" s="1037"/>
      <c r="T889" s="1037"/>
      <c r="U889" s="1037"/>
      <c r="V889" s="1037"/>
      <c r="W889" s="1037"/>
      <c r="X889" s="1037"/>
      <c r="Y889" s="1037"/>
      <c r="Z889" s="1037"/>
      <c r="AA889" s="1037"/>
      <c r="AB889" s="1037"/>
      <c r="AC889" s="1037"/>
      <c r="AD889" s="1037"/>
      <c r="AE889" s="1037"/>
      <c r="AF889" s="1037"/>
      <c r="AG889" s="1037"/>
      <c r="AH889" s="1037"/>
      <c r="AI889" s="1037"/>
      <c r="AJ889" s="1037"/>
      <c r="AK889" s="1037"/>
      <c r="AL889" s="1037"/>
      <c r="AM889" s="1037"/>
      <c r="AN889" s="1037"/>
      <c r="AO889" s="1037"/>
      <c r="AP889" s="1037"/>
    </row>
    <row r="890" spans="1:42" s="226" customFormat="1">
      <c r="A890" s="2060"/>
      <c r="B890" s="1037"/>
      <c r="C890" s="1037"/>
      <c r="D890" s="1037"/>
      <c r="E890" s="1037"/>
      <c r="F890" s="1037"/>
      <c r="G890" s="1037"/>
      <c r="H890" s="1018"/>
      <c r="I890" s="1037"/>
      <c r="J890" s="1037"/>
      <c r="K890" s="1037"/>
      <c r="L890" s="1037"/>
      <c r="M890" s="1037"/>
      <c r="N890" s="1037"/>
      <c r="O890" s="1037"/>
      <c r="P890" s="1037"/>
      <c r="Q890" s="1037"/>
      <c r="R890" s="1037"/>
      <c r="S890" s="1037"/>
      <c r="T890" s="1037"/>
      <c r="U890" s="1037"/>
      <c r="V890" s="1037"/>
      <c r="W890" s="1037"/>
      <c r="X890" s="1037"/>
      <c r="Y890" s="1037"/>
      <c r="Z890" s="1037"/>
      <c r="AA890" s="1037"/>
      <c r="AB890" s="1037"/>
      <c r="AC890" s="1037"/>
      <c r="AD890" s="1037"/>
      <c r="AE890" s="1037"/>
      <c r="AF890" s="1037"/>
      <c r="AG890" s="1037"/>
      <c r="AH890" s="1037"/>
      <c r="AI890" s="1037"/>
      <c r="AJ890" s="1037"/>
      <c r="AK890" s="1037"/>
      <c r="AL890" s="1037"/>
      <c r="AM890" s="1037"/>
      <c r="AN890" s="1037"/>
      <c r="AO890" s="1037"/>
      <c r="AP890" s="1037"/>
    </row>
    <row r="891" spans="1:42" s="226" customFormat="1">
      <c r="A891" s="2060"/>
      <c r="B891" s="1037"/>
      <c r="C891" s="1037"/>
      <c r="D891" s="1037"/>
      <c r="E891" s="1037"/>
      <c r="F891" s="1037"/>
      <c r="G891" s="1037"/>
      <c r="H891" s="1018"/>
      <c r="I891" s="1037"/>
      <c r="J891" s="1037"/>
      <c r="K891" s="1037"/>
      <c r="L891" s="1037"/>
      <c r="M891" s="1037"/>
      <c r="N891" s="1037"/>
      <c r="O891" s="1037"/>
      <c r="P891" s="1037"/>
      <c r="Q891" s="1037"/>
      <c r="R891" s="1037"/>
      <c r="S891" s="1037"/>
      <c r="T891" s="1037"/>
      <c r="U891" s="1037"/>
      <c r="V891" s="1037"/>
      <c r="W891" s="1037"/>
      <c r="X891" s="1037"/>
      <c r="Y891" s="1037"/>
      <c r="Z891" s="1037"/>
      <c r="AA891" s="1037"/>
      <c r="AB891" s="1037"/>
      <c r="AC891" s="1037"/>
      <c r="AD891" s="1037"/>
      <c r="AE891" s="1037"/>
      <c r="AF891" s="1037"/>
      <c r="AG891" s="1037"/>
      <c r="AH891" s="1037"/>
      <c r="AI891" s="1037"/>
      <c r="AJ891" s="1037"/>
      <c r="AK891" s="1037"/>
      <c r="AL891" s="1037"/>
      <c r="AM891" s="1037"/>
      <c r="AN891" s="1037"/>
      <c r="AO891" s="1037"/>
      <c r="AP891" s="1037"/>
    </row>
    <row r="892" spans="1:42" s="226" customFormat="1">
      <c r="A892" s="2060"/>
      <c r="B892" s="1037"/>
      <c r="C892" s="1037"/>
      <c r="D892" s="1037"/>
      <c r="E892" s="1037"/>
      <c r="F892" s="1037"/>
      <c r="G892" s="1037"/>
      <c r="H892" s="1018"/>
      <c r="I892" s="1037"/>
      <c r="J892" s="1037"/>
      <c r="K892" s="1037"/>
      <c r="L892" s="1037"/>
      <c r="M892" s="1037"/>
      <c r="N892" s="1037"/>
      <c r="O892" s="1037"/>
      <c r="P892" s="1037"/>
      <c r="Q892" s="1037"/>
      <c r="R892" s="1037"/>
      <c r="S892" s="1037"/>
      <c r="T892" s="1037"/>
      <c r="U892" s="1037"/>
      <c r="V892" s="1037"/>
      <c r="W892" s="1037"/>
      <c r="X892" s="1037"/>
      <c r="Y892" s="1037"/>
      <c r="Z892" s="1037"/>
      <c r="AA892" s="1037"/>
      <c r="AB892" s="1037"/>
      <c r="AC892" s="1037"/>
      <c r="AD892" s="1037"/>
      <c r="AE892" s="1037"/>
      <c r="AF892" s="1037"/>
      <c r="AG892" s="1037"/>
      <c r="AH892" s="1037"/>
      <c r="AI892" s="1037"/>
      <c r="AJ892" s="1037"/>
      <c r="AK892" s="1037"/>
      <c r="AL892" s="1037"/>
      <c r="AM892" s="1037"/>
      <c r="AN892" s="1037"/>
      <c r="AO892" s="1037"/>
      <c r="AP892" s="1037"/>
    </row>
    <row r="893" spans="1:42" s="226" customFormat="1">
      <c r="A893" s="2060"/>
      <c r="B893" s="1037"/>
      <c r="C893" s="1037"/>
      <c r="D893" s="1037"/>
      <c r="E893" s="1037"/>
      <c r="F893" s="1037"/>
      <c r="G893" s="1037"/>
      <c r="H893" s="1018"/>
      <c r="I893" s="1037"/>
      <c r="J893" s="1037"/>
      <c r="K893" s="1037"/>
      <c r="L893" s="1037"/>
      <c r="M893" s="1037"/>
      <c r="N893" s="1037"/>
      <c r="O893" s="1037"/>
      <c r="P893" s="1037"/>
      <c r="Q893" s="1037"/>
      <c r="R893" s="1037"/>
      <c r="S893" s="1037"/>
      <c r="T893" s="1037"/>
      <c r="U893" s="1037"/>
      <c r="V893" s="1037"/>
      <c r="W893" s="1037"/>
      <c r="X893" s="1037"/>
      <c r="Y893" s="1037"/>
      <c r="Z893" s="1037"/>
      <c r="AA893" s="1037"/>
      <c r="AB893" s="1037"/>
      <c r="AC893" s="1037"/>
      <c r="AD893" s="1037"/>
      <c r="AE893" s="1037"/>
      <c r="AF893" s="1037"/>
      <c r="AG893" s="1037"/>
      <c r="AH893" s="1037"/>
      <c r="AI893" s="1037"/>
      <c r="AJ893" s="1037"/>
      <c r="AK893" s="1037"/>
      <c r="AL893" s="1037"/>
      <c r="AM893" s="1037"/>
      <c r="AN893" s="1037"/>
      <c r="AO893" s="1037"/>
      <c r="AP893" s="1037"/>
    </row>
    <row r="894" spans="1:42" s="226" customFormat="1">
      <c r="A894" s="2060"/>
      <c r="B894" s="1037"/>
      <c r="C894" s="1037"/>
      <c r="D894" s="1037"/>
      <c r="E894" s="1037"/>
      <c r="F894" s="1037"/>
      <c r="G894" s="1037"/>
      <c r="H894" s="1018"/>
      <c r="I894" s="1037"/>
      <c r="J894" s="1037"/>
      <c r="K894" s="1037"/>
      <c r="L894" s="1037"/>
      <c r="M894" s="1037"/>
      <c r="N894" s="1037"/>
      <c r="O894" s="1037"/>
      <c r="P894" s="1037"/>
      <c r="Q894" s="1037"/>
      <c r="R894" s="1037"/>
      <c r="S894" s="1037"/>
      <c r="T894" s="1037"/>
      <c r="U894" s="1037"/>
      <c r="V894" s="1037"/>
      <c r="W894" s="1037"/>
      <c r="X894" s="1037"/>
      <c r="Y894" s="1037"/>
      <c r="Z894" s="1037"/>
      <c r="AA894" s="1037"/>
      <c r="AB894" s="1037"/>
      <c r="AC894" s="1037"/>
      <c r="AD894" s="1037"/>
      <c r="AE894" s="1037"/>
      <c r="AF894" s="1037"/>
      <c r="AG894" s="1037"/>
      <c r="AH894" s="1037"/>
      <c r="AI894" s="1037"/>
      <c r="AJ894" s="1037"/>
      <c r="AK894" s="1037"/>
      <c r="AL894" s="1037"/>
      <c r="AM894" s="1037"/>
      <c r="AN894" s="1037"/>
      <c r="AO894" s="1037"/>
      <c r="AP894" s="1037"/>
    </row>
    <row r="895" spans="1:42" s="226" customFormat="1">
      <c r="A895" s="2060"/>
      <c r="B895" s="1037"/>
      <c r="C895" s="1037"/>
      <c r="D895" s="1037"/>
      <c r="E895" s="1037"/>
      <c r="F895" s="1037"/>
      <c r="G895" s="1037"/>
      <c r="H895" s="1018"/>
      <c r="I895" s="1037"/>
      <c r="J895" s="1037"/>
      <c r="K895" s="1037"/>
      <c r="L895" s="1037"/>
      <c r="M895" s="1037"/>
      <c r="N895" s="1037"/>
      <c r="O895" s="1037"/>
      <c r="P895" s="1037"/>
      <c r="Q895" s="1037"/>
      <c r="R895" s="1037"/>
      <c r="S895" s="1037"/>
      <c r="T895" s="1037"/>
      <c r="U895" s="1037"/>
      <c r="V895" s="1037"/>
      <c r="W895" s="1037"/>
      <c r="X895" s="1037"/>
      <c r="Y895" s="1037"/>
      <c r="Z895" s="1037"/>
      <c r="AA895" s="1037"/>
      <c r="AB895" s="1037"/>
      <c r="AC895" s="1037"/>
      <c r="AD895" s="1037"/>
      <c r="AE895" s="1037"/>
      <c r="AF895" s="1037"/>
      <c r="AG895" s="1037"/>
      <c r="AH895" s="1037"/>
      <c r="AI895" s="1037"/>
      <c r="AJ895" s="1037"/>
      <c r="AK895" s="1037"/>
      <c r="AL895" s="1037"/>
      <c r="AM895" s="1037"/>
      <c r="AN895" s="1037"/>
      <c r="AO895" s="1037"/>
      <c r="AP895" s="1037"/>
    </row>
    <row r="896" spans="1:42" s="226" customFormat="1">
      <c r="A896" s="2060"/>
      <c r="B896" s="1037"/>
      <c r="C896" s="1037"/>
      <c r="D896" s="1037"/>
      <c r="E896" s="1037"/>
      <c r="F896" s="1037"/>
      <c r="G896" s="1037"/>
      <c r="H896" s="1018"/>
      <c r="I896" s="1037"/>
      <c r="J896" s="1037"/>
      <c r="K896" s="1037"/>
      <c r="L896" s="1037"/>
      <c r="M896" s="1037"/>
      <c r="N896" s="1037"/>
      <c r="O896" s="1037"/>
      <c r="P896" s="1037"/>
      <c r="Q896" s="1037"/>
      <c r="R896" s="1037"/>
      <c r="S896" s="1037"/>
      <c r="T896" s="1037"/>
      <c r="U896" s="1037"/>
      <c r="V896" s="1037"/>
      <c r="W896" s="1037"/>
      <c r="X896" s="1037"/>
      <c r="Y896" s="1037"/>
      <c r="Z896" s="1037"/>
      <c r="AA896" s="1037"/>
      <c r="AB896" s="1037"/>
      <c r="AC896" s="1037"/>
      <c r="AD896" s="1037"/>
      <c r="AE896" s="1037"/>
      <c r="AF896" s="1037"/>
      <c r="AG896" s="1037"/>
      <c r="AH896" s="1037"/>
      <c r="AI896" s="1037"/>
      <c r="AJ896" s="1037"/>
      <c r="AK896" s="1037"/>
      <c r="AL896" s="1037"/>
      <c r="AM896" s="1037"/>
      <c r="AN896" s="1037"/>
      <c r="AO896" s="1037"/>
      <c r="AP896" s="1037"/>
    </row>
    <row r="897" spans="1:42" s="226" customFormat="1">
      <c r="A897" s="2060"/>
      <c r="B897" s="1037"/>
      <c r="C897" s="1037"/>
      <c r="D897" s="1037"/>
      <c r="E897" s="1037"/>
      <c r="F897" s="1037"/>
      <c r="G897" s="1037"/>
      <c r="H897" s="1018"/>
      <c r="I897" s="1037"/>
      <c r="J897" s="1037"/>
      <c r="K897" s="1037"/>
      <c r="L897" s="1037"/>
      <c r="M897" s="1037"/>
      <c r="N897" s="1037"/>
      <c r="O897" s="1037"/>
      <c r="P897" s="1037"/>
      <c r="Q897" s="1037"/>
      <c r="R897" s="1037"/>
      <c r="S897" s="1037"/>
      <c r="T897" s="1037"/>
      <c r="U897" s="1037"/>
      <c r="V897" s="1037"/>
      <c r="W897" s="1037"/>
      <c r="X897" s="1037"/>
      <c r="Y897" s="1037"/>
      <c r="Z897" s="1037"/>
      <c r="AA897" s="1037"/>
      <c r="AB897" s="1037"/>
      <c r="AC897" s="1037"/>
      <c r="AD897" s="1037"/>
      <c r="AE897" s="1037"/>
      <c r="AF897" s="1037"/>
      <c r="AG897" s="1037"/>
      <c r="AH897" s="1037"/>
      <c r="AI897" s="1037"/>
      <c r="AJ897" s="1037"/>
      <c r="AK897" s="1037"/>
      <c r="AL897" s="1037"/>
      <c r="AM897" s="1037"/>
      <c r="AN897" s="1037"/>
      <c r="AO897" s="1037"/>
      <c r="AP897" s="1037"/>
    </row>
    <row r="898" spans="1:42" s="226" customFormat="1">
      <c r="A898" s="2060"/>
      <c r="B898" s="1037"/>
      <c r="C898" s="1037"/>
      <c r="D898" s="1037"/>
      <c r="E898" s="1037"/>
      <c r="F898" s="1037"/>
      <c r="G898" s="1037"/>
      <c r="H898" s="1018"/>
      <c r="I898" s="1037"/>
      <c r="J898" s="1037"/>
      <c r="K898" s="1037"/>
      <c r="L898" s="1037"/>
      <c r="M898" s="1037"/>
      <c r="N898" s="1037"/>
      <c r="O898" s="1037"/>
      <c r="P898" s="1037"/>
      <c r="Q898" s="1037"/>
      <c r="R898" s="1037"/>
      <c r="S898" s="1037"/>
      <c r="T898" s="1037"/>
      <c r="U898" s="1037"/>
      <c r="V898" s="1037"/>
      <c r="W898" s="1037"/>
      <c r="X898" s="1037"/>
      <c r="Y898" s="1037"/>
      <c r="Z898" s="1037"/>
      <c r="AA898" s="1037"/>
      <c r="AB898" s="1037"/>
      <c r="AC898" s="1037"/>
      <c r="AD898" s="1037"/>
      <c r="AE898" s="1037"/>
      <c r="AF898" s="1037"/>
      <c r="AG898" s="1037"/>
      <c r="AH898" s="1037"/>
      <c r="AI898" s="1037"/>
      <c r="AJ898" s="1037"/>
      <c r="AK898" s="1037"/>
      <c r="AL898" s="1037"/>
      <c r="AM898" s="1037"/>
      <c r="AN898" s="1037"/>
      <c r="AO898" s="1037"/>
      <c r="AP898" s="1037"/>
    </row>
    <row r="899" spans="1:42" s="226" customFormat="1">
      <c r="A899" s="2060"/>
      <c r="B899" s="1037"/>
      <c r="C899" s="1037"/>
      <c r="D899" s="1037"/>
      <c r="E899" s="1037"/>
      <c r="F899" s="1037"/>
      <c r="G899" s="1037"/>
      <c r="H899" s="1018"/>
      <c r="I899" s="1037"/>
      <c r="J899" s="1037"/>
      <c r="K899" s="1037"/>
      <c r="L899" s="1037"/>
      <c r="M899" s="1037"/>
      <c r="N899" s="1037"/>
      <c r="O899" s="1037"/>
      <c r="P899" s="1037"/>
      <c r="Q899" s="1037"/>
      <c r="R899" s="1037"/>
      <c r="S899" s="1037"/>
      <c r="T899" s="1037"/>
      <c r="U899" s="1037"/>
      <c r="V899" s="1037"/>
      <c r="W899" s="1037"/>
      <c r="X899" s="1037"/>
      <c r="Y899" s="1037"/>
      <c r="Z899" s="1037"/>
      <c r="AA899" s="1037"/>
      <c r="AB899" s="1037"/>
      <c r="AC899" s="1037"/>
      <c r="AD899" s="1037"/>
      <c r="AE899" s="1037"/>
      <c r="AF899" s="1037"/>
      <c r="AG899" s="1037"/>
      <c r="AH899" s="1037"/>
      <c r="AI899" s="1037"/>
      <c r="AJ899" s="1037"/>
      <c r="AK899" s="1037"/>
      <c r="AL899" s="1037"/>
      <c r="AM899" s="1037"/>
      <c r="AN899" s="1037"/>
      <c r="AO899" s="1037"/>
      <c r="AP899" s="1037"/>
    </row>
    <row r="900" spans="1:42" s="226" customFormat="1">
      <c r="A900" s="2060"/>
      <c r="B900" s="1037"/>
      <c r="C900" s="1037"/>
      <c r="D900" s="1037"/>
      <c r="E900" s="1037"/>
      <c r="F900" s="1037"/>
      <c r="G900" s="1037"/>
      <c r="H900" s="1018"/>
      <c r="I900" s="1037"/>
      <c r="J900" s="1037"/>
      <c r="K900" s="1037"/>
      <c r="L900" s="1037"/>
      <c r="M900" s="1037"/>
      <c r="N900" s="1037"/>
      <c r="O900" s="1037"/>
      <c r="P900" s="1037"/>
      <c r="Q900" s="1037"/>
      <c r="R900" s="1037"/>
      <c r="S900" s="1037"/>
      <c r="T900" s="1037"/>
      <c r="U900" s="1037"/>
      <c r="V900" s="1037"/>
      <c r="W900" s="1037"/>
      <c r="X900" s="1037"/>
      <c r="Y900" s="1037"/>
      <c r="Z900" s="1037"/>
      <c r="AA900" s="1037"/>
      <c r="AB900" s="1037"/>
      <c r="AC900" s="1037"/>
      <c r="AD900" s="1037"/>
      <c r="AE900" s="1037"/>
      <c r="AF900" s="1037"/>
      <c r="AG900" s="1037"/>
      <c r="AH900" s="1037"/>
      <c r="AI900" s="1037"/>
      <c r="AJ900" s="1037"/>
      <c r="AK900" s="1037"/>
      <c r="AL900" s="1037"/>
      <c r="AM900" s="1037"/>
      <c r="AN900" s="1037"/>
      <c r="AO900" s="1037"/>
      <c r="AP900" s="1037"/>
    </row>
    <row r="901" spans="1:42" s="226" customFormat="1">
      <c r="A901" s="2060"/>
      <c r="B901" s="1037"/>
      <c r="C901" s="1037"/>
      <c r="D901" s="1037"/>
      <c r="E901" s="1037"/>
      <c r="F901" s="1037"/>
      <c r="G901" s="1037"/>
      <c r="H901" s="1018"/>
      <c r="I901" s="1037"/>
      <c r="J901" s="1037"/>
      <c r="K901" s="1037"/>
      <c r="L901" s="1037"/>
      <c r="M901" s="1037"/>
      <c r="N901" s="1037"/>
      <c r="O901" s="1037"/>
      <c r="P901" s="1037"/>
      <c r="Q901" s="1037"/>
      <c r="R901" s="1037"/>
      <c r="S901" s="1037"/>
      <c r="T901" s="1037"/>
      <c r="U901" s="1037"/>
      <c r="V901" s="1037"/>
      <c r="W901" s="1037"/>
      <c r="X901" s="1037"/>
      <c r="Y901" s="1037"/>
      <c r="Z901" s="1037"/>
      <c r="AA901" s="1037"/>
      <c r="AB901" s="1037"/>
      <c r="AC901" s="1037"/>
      <c r="AD901" s="1037"/>
      <c r="AE901" s="1037"/>
      <c r="AF901" s="1037"/>
      <c r="AG901" s="1037"/>
      <c r="AH901" s="1037"/>
      <c r="AI901" s="1037"/>
      <c r="AJ901" s="1037"/>
      <c r="AK901" s="1037"/>
      <c r="AL901" s="1037"/>
      <c r="AM901" s="1037"/>
      <c r="AN901" s="1037"/>
      <c r="AO901" s="1037"/>
      <c r="AP901" s="1037"/>
    </row>
    <row r="902" spans="1:42" s="226" customFormat="1">
      <c r="A902" s="2060"/>
      <c r="B902" s="1037"/>
      <c r="C902" s="1037"/>
      <c r="D902" s="1037"/>
      <c r="E902" s="1037"/>
      <c r="F902" s="1037"/>
      <c r="G902" s="1037"/>
      <c r="H902" s="1018"/>
      <c r="I902" s="1037"/>
      <c r="J902" s="1037"/>
      <c r="K902" s="1037"/>
      <c r="L902" s="1037"/>
      <c r="M902" s="1037"/>
      <c r="N902" s="1037"/>
      <c r="O902" s="1037"/>
      <c r="P902" s="1037"/>
      <c r="Q902" s="1037"/>
      <c r="R902" s="1037"/>
      <c r="S902" s="1037"/>
      <c r="T902" s="1037"/>
      <c r="U902" s="1037"/>
      <c r="V902" s="1037"/>
      <c r="W902" s="1037"/>
      <c r="X902" s="1037"/>
      <c r="Y902" s="1037"/>
      <c r="Z902" s="1037"/>
      <c r="AA902" s="1037"/>
      <c r="AB902" s="1037"/>
      <c r="AC902" s="1037"/>
      <c r="AD902" s="1037"/>
      <c r="AE902" s="1037"/>
      <c r="AF902" s="1037"/>
      <c r="AG902" s="1037"/>
      <c r="AH902" s="1037"/>
      <c r="AI902" s="1037"/>
      <c r="AJ902" s="1037"/>
      <c r="AK902" s="1037"/>
      <c r="AL902" s="1037"/>
      <c r="AM902" s="1037"/>
      <c r="AN902" s="1037"/>
      <c r="AO902" s="1037"/>
      <c r="AP902" s="1037"/>
    </row>
    <row r="903" spans="1:42" s="226" customFormat="1">
      <c r="A903" s="2060"/>
      <c r="B903" s="1037"/>
      <c r="C903" s="1037"/>
      <c r="D903" s="1037"/>
      <c r="E903" s="1037"/>
      <c r="F903" s="1037"/>
      <c r="G903" s="1037"/>
      <c r="H903" s="1018"/>
      <c r="I903" s="1037"/>
      <c r="J903" s="1037"/>
      <c r="K903" s="1037"/>
      <c r="L903" s="1037"/>
      <c r="M903" s="1037"/>
      <c r="N903" s="1037"/>
      <c r="O903" s="1037"/>
      <c r="P903" s="1037"/>
      <c r="Q903" s="1037"/>
      <c r="R903" s="1037"/>
      <c r="S903" s="1037"/>
      <c r="T903" s="1037"/>
      <c r="U903" s="1037"/>
      <c r="V903" s="1037"/>
      <c r="W903" s="1037"/>
      <c r="X903" s="1037"/>
      <c r="Y903" s="1037"/>
      <c r="Z903" s="1037"/>
      <c r="AA903" s="1037"/>
      <c r="AB903" s="1037"/>
      <c r="AC903" s="1037"/>
      <c r="AD903" s="1037"/>
      <c r="AE903" s="1037"/>
      <c r="AF903" s="1037"/>
      <c r="AG903" s="1037"/>
      <c r="AH903" s="1037"/>
      <c r="AI903" s="1037"/>
      <c r="AJ903" s="1037"/>
      <c r="AK903" s="1037"/>
      <c r="AL903" s="1037"/>
      <c r="AM903" s="1037"/>
      <c r="AN903" s="1037"/>
      <c r="AO903" s="1037"/>
      <c r="AP903" s="1037"/>
    </row>
    <row r="904" spans="1:42" s="226" customFormat="1">
      <c r="A904" s="2060"/>
      <c r="B904" s="1037"/>
      <c r="C904" s="1037"/>
      <c r="D904" s="1037"/>
      <c r="E904" s="1037"/>
      <c r="F904" s="1037"/>
      <c r="G904" s="1037"/>
      <c r="H904" s="1018"/>
      <c r="I904" s="1037"/>
      <c r="J904" s="1037"/>
      <c r="K904" s="1037"/>
      <c r="L904" s="1037"/>
      <c r="M904" s="1037"/>
      <c r="N904" s="1037"/>
      <c r="O904" s="1037"/>
      <c r="P904" s="1037"/>
      <c r="Q904" s="1037"/>
      <c r="R904" s="1037"/>
      <c r="S904" s="1037"/>
      <c r="T904" s="1037"/>
      <c r="U904" s="1037"/>
      <c r="V904" s="1037"/>
      <c r="W904" s="1037"/>
      <c r="X904" s="1037"/>
      <c r="Y904" s="1037"/>
      <c r="Z904" s="1037"/>
      <c r="AA904" s="1037"/>
      <c r="AB904" s="1037"/>
      <c r="AC904" s="1037"/>
      <c r="AD904" s="1037"/>
      <c r="AE904" s="1037"/>
      <c r="AF904" s="1037"/>
      <c r="AG904" s="1037"/>
      <c r="AH904" s="1037"/>
      <c r="AI904" s="1037"/>
      <c r="AJ904" s="1037"/>
      <c r="AK904" s="1037"/>
      <c r="AL904" s="1037"/>
      <c r="AM904" s="1037"/>
      <c r="AN904" s="1037"/>
      <c r="AO904" s="1037"/>
      <c r="AP904" s="1037"/>
    </row>
    <row r="905" spans="1:42" s="226" customFormat="1">
      <c r="A905" s="2060"/>
      <c r="B905" s="1037"/>
      <c r="C905" s="1037"/>
      <c r="D905" s="1037"/>
      <c r="E905" s="1037"/>
      <c r="F905" s="1037"/>
      <c r="G905" s="1037"/>
      <c r="H905" s="1018"/>
      <c r="I905" s="1037"/>
      <c r="J905" s="1037"/>
      <c r="K905" s="1037"/>
      <c r="L905" s="1037"/>
      <c r="M905" s="1037"/>
      <c r="N905" s="1037"/>
      <c r="O905" s="1037"/>
      <c r="P905" s="1037"/>
      <c r="Q905" s="1037"/>
      <c r="R905" s="1037"/>
      <c r="S905" s="1037"/>
      <c r="T905" s="1037"/>
      <c r="U905" s="1037"/>
      <c r="V905" s="1037"/>
      <c r="W905" s="1037"/>
      <c r="X905" s="1037"/>
      <c r="Y905" s="1037"/>
      <c r="Z905" s="1037"/>
      <c r="AA905" s="1037"/>
      <c r="AB905" s="1037"/>
      <c r="AC905" s="1037"/>
      <c r="AD905" s="1037"/>
      <c r="AE905" s="1037"/>
      <c r="AF905" s="1037"/>
      <c r="AG905" s="1037"/>
      <c r="AH905" s="1037"/>
      <c r="AI905" s="1037"/>
      <c r="AJ905" s="1037"/>
      <c r="AK905" s="1037"/>
      <c r="AL905" s="1037"/>
      <c r="AM905" s="1037"/>
      <c r="AN905" s="1037"/>
      <c r="AO905" s="1037"/>
      <c r="AP905" s="1037"/>
    </row>
    <row r="906" spans="1:42" s="226" customFormat="1">
      <c r="A906" s="2060"/>
      <c r="B906" s="1037"/>
      <c r="C906" s="1037"/>
      <c r="D906" s="1037"/>
      <c r="E906" s="1037"/>
      <c r="F906" s="1037"/>
      <c r="G906" s="1037"/>
      <c r="H906" s="1018"/>
      <c r="I906" s="1037"/>
      <c r="J906" s="1037"/>
      <c r="K906" s="1037"/>
      <c r="L906" s="1037"/>
      <c r="M906" s="1037"/>
      <c r="N906" s="1037"/>
      <c r="O906" s="1037"/>
      <c r="P906" s="1037"/>
      <c r="Q906" s="1037"/>
      <c r="R906" s="1037"/>
      <c r="S906" s="1037"/>
      <c r="T906" s="1037"/>
      <c r="U906" s="1037"/>
      <c r="V906" s="1037"/>
      <c r="W906" s="1037"/>
      <c r="X906" s="1037"/>
      <c r="Y906" s="1037"/>
      <c r="Z906" s="1037"/>
      <c r="AA906" s="1037"/>
      <c r="AB906" s="1037"/>
      <c r="AC906" s="1037"/>
      <c r="AD906" s="1037"/>
      <c r="AE906" s="1037"/>
      <c r="AF906" s="1037"/>
      <c r="AG906" s="1037"/>
      <c r="AH906" s="1037"/>
      <c r="AI906" s="1037"/>
      <c r="AJ906" s="1037"/>
      <c r="AK906" s="1037"/>
      <c r="AL906" s="1037"/>
      <c r="AM906" s="1037"/>
      <c r="AN906" s="1037"/>
      <c r="AO906" s="1037"/>
      <c r="AP906" s="1037"/>
    </row>
    <row r="907" spans="1:42" s="226" customFormat="1">
      <c r="A907" s="2060"/>
      <c r="B907" s="1037"/>
      <c r="C907" s="1037"/>
      <c r="D907" s="1037"/>
      <c r="E907" s="1037"/>
      <c r="F907" s="1037"/>
      <c r="G907" s="1037"/>
      <c r="H907" s="1018"/>
      <c r="I907" s="1037"/>
      <c r="J907" s="1037"/>
      <c r="K907" s="1037"/>
      <c r="L907" s="1037"/>
      <c r="M907" s="1037"/>
      <c r="N907" s="1037"/>
      <c r="O907" s="1037"/>
      <c r="P907" s="1037"/>
      <c r="Q907" s="1037"/>
      <c r="R907" s="1037"/>
      <c r="S907" s="1037"/>
      <c r="T907" s="1037"/>
      <c r="U907" s="1037"/>
      <c r="V907" s="1037"/>
      <c r="W907" s="1037"/>
      <c r="X907" s="1037"/>
      <c r="Y907" s="1037"/>
      <c r="Z907" s="1037"/>
      <c r="AA907" s="1037"/>
      <c r="AB907" s="1037"/>
      <c r="AC907" s="1037"/>
      <c r="AD907" s="1037"/>
      <c r="AE907" s="1037"/>
      <c r="AF907" s="1037"/>
      <c r="AG907" s="1037"/>
      <c r="AH907" s="1037"/>
      <c r="AI907" s="1037"/>
      <c r="AJ907" s="1037"/>
      <c r="AK907" s="1037"/>
      <c r="AL907" s="1037"/>
      <c r="AM907" s="1037"/>
      <c r="AN907" s="1037"/>
      <c r="AO907" s="1037"/>
      <c r="AP907" s="1037"/>
    </row>
    <row r="908" spans="1:42" s="226" customFormat="1">
      <c r="A908" s="2060"/>
      <c r="B908" s="1037"/>
      <c r="C908" s="1037"/>
      <c r="D908" s="1037"/>
      <c r="E908" s="1037"/>
      <c r="F908" s="1037"/>
      <c r="G908" s="1037"/>
      <c r="H908" s="1018"/>
      <c r="I908" s="1037"/>
      <c r="J908" s="1037"/>
      <c r="K908" s="1037"/>
      <c r="L908" s="1037"/>
      <c r="M908" s="1037"/>
      <c r="N908" s="1037"/>
      <c r="O908" s="1037"/>
      <c r="P908" s="1037"/>
      <c r="Q908" s="1037"/>
      <c r="R908" s="1037"/>
      <c r="S908" s="1037"/>
      <c r="T908" s="1037"/>
      <c r="U908" s="1037"/>
      <c r="V908" s="1037"/>
      <c r="W908" s="1037"/>
      <c r="X908" s="1037"/>
      <c r="Y908" s="1037"/>
      <c r="Z908" s="1037"/>
      <c r="AA908" s="1037"/>
      <c r="AB908" s="1037"/>
      <c r="AC908" s="1037"/>
      <c r="AD908" s="1037"/>
      <c r="AE908" s="1037"/>
      <c r="AF908" s="1037"/>
      <c r="AG908" s="1037"/>
      <c r="AH908" s="1037"/>
      <c r="AI908" s="1037"/>
      <c r="AJ908" s="1037"/>
      <c r="AK908" s="1037"/>
      <c r="AL908" s="1037"/>
      <c r="AM908" s="1037"/>
      <c r="AN908" s="1037"/>
      <c r="AO908" s="1037"/>
      <c r="AP908" s="1037"/>
    </row>
    <row r="909" spans="1:42" s="226" customFormat="1">
      <c r="A909" s="2060"/>
      <c r="B909" s="1037"/>
      <c r="C909" s="1037"/>
      <c r="D909" s="1037"/>
      <c r="E909" s="1037"/>
      <c r="F909" s="1037"/>
      <c r="G909" s="1037"/>
      <c r="H909" s="1018"/>
      <c r="I909" s="1037"/>
      <c r="J909" s="1037"/>
      <c r="K909" s="1037"/>
      <c r="L909" s="1037"/>
      <c r="M909" s="1037"/>
      <c r="N909" s="1037"/>
      <c r="O909" s="1037"/>
      <c r="P909" s="1037"/>
      <c r="Q909" s="1037"/>
      <c r="R909" s="1037"/>
      <c r="S909" s="1037"/>
      <c r="T909" s="1037"/>
      <c r="U909" s="1037"/>
      <c r="V909" s="1037"/>
      <c r="W909" s="1037"/>
      <c r="X909" s="1037"/>
      <c r="Y909" s="1037"/>
      <c r="Z909" s="1037"/>
      <c r="AA909" s="1037"/>
      <c r="AB909" s="1037"/>
      <c r="AC909" s="1037"/>
      <c r="AD909" s="1037"/>
      <c r="AE909" s="1037"/>
      <c r="AF909" s="1037"/>
      <c r="AG909" s="1037"/>
      <c r="AH909" s="1037"/>
      <c r="AI909" s="1037"/>
      <c r="AJ909" s="1037"/>
      <c r="AK909" s="1037"/>
      <c r="AL909" s="1037"/>
      <c r="AM909" s="1037"/>
      <c r="AN909" s="1037"/>
      <c r="AO909" s="1037"/>
      <c r="AP909" s="1037"/>
    </row>
    <row r="910" spans="1:42" s="226" customFormat="1">
      <c r="A910" s="2060"/>
      <c r="B910" s="1037"/>
      <c r="C910" s="1037"/>
      <c r="D910" s="1037"/>
      <c r="E910" s="1037"/>
      <c r="F910" s="1037"/>
      <c r="G910" s="1037"/>
      <c r="H910" s="1018"/>
      <c r="I910" s="1037"/>
      <c r="J910" s="1037"/>
      <c r="K910" s="1037"/>
      <c r="L910" s="1037"/>
      <c r="M910" s="1037"/>
      <c r="N910" s="1037"/>
      <c r="O910" s="1037"/>
      <c r="P910" s="1037"/>
      <c r="Q910" s="1037"/>
      <c r="R910" s="1037"/>
      <c r="S910" s="1037"/>
      <c r="T910" s="1037"/>
      <c r="U910" s="1037"/>
      <c r="V910" s="1037"/>
      <c r="W910" s="1037"/>
      <c r="X910" s="1037"/>
      <c r="Y910" s="1037"/>
      <c r="Z910" s="1037"/>
      <c r="AA910" s="1037"/>
      <c r="AB910" s="1037"/>
      <c r="AC910" s="1037"/>
      <c r="AD910" s="1037"/>
      <c r="AE910" s="1037"/>
      <c r="AF910" s="1037"/>
      <c r="AG910" s="1037"/>
      <c r="AH910" s="1037"/>
      <c r="AI910" s="1037"/>
      <c r="AJ910" s="1037"/>
      <c r="AK910" s="1037"/>
      <c r="AL910" s="1037"/>
      <c r="AM910" s="1037"/>
      <c r="AN910" s="1037"/>
      <c r="AO910" s="1037"/>
      <c r="AP910" s="1037"/>
    </row>
    <row r="911" spans="1:42" s="226" customFormat="1">
      <c r="A911" s="2060"/>
      <c r="B911" s="1037"/>
      <c r="C911" s="1037"/>
      <c r="D911" s="1037"/>
      <c r="E911" s="1037"/>
      <c r="F911" s="1037"/>
      <c r="G911" s="1037"/>
      <c r="H911" s="1018"/>
      <c r="I911" s="1037"/>
      <c r="J911" s="1037"/>
      <c r="K911" s="1037"/>
      <c r="L911" s="1037"/>
      <c r="M911" s="1037"/>
      <c r="N911" s="1037"/>
      <c r="O911" s="1037"/>
      <c r="P911" s="1037"/>
      <c r="Q911" s="1037"/>
      <c r="R911" s="1037"/>
      <c r="S911" s="1037"/>
      <c r="T911" s="1037"/>
      <c r="U911" s="1037"/>
      <c r="V911" s="1037"/>
      <c r="W911" s="1037"/>
      <c r="X911" s="1037"/>
      <c r="Y911" s="1037"/>
      <c r="Z911" s="1037"/>
      <c r="AA911" s="1037"/>
      <c r="AB911" s="1037"/>
      <c r="AC911" s="1037"/>
      <c r="AD911" s="1037"/>
      <c r="AE911" s="1037"/>
      <c r="AF911" s="1037"/>
      <c r="AG911" s="1037"/>
      <c r="AH911" s="1037"/>
      <c r="AI911" s="1037"/>
      <c r="AJ911" s="1037"/>
      <c r="AK911" s="1037"/>
      <c r="AL911" s="1037"/>
      <c r="AM911" s="1037"/>
      <c r="AN911" s="1037"/>
      <c r="AO911" s="1037"/>
      <c r="AP911" s="1037"/>
    </row>
    <row r="912" spans="1:42" s="226" customFormat="1">
      <c r="A912" s="2060"/>
      <c r="B912" s="1037"/>
      <c r="C912" s="1037"/>
      <c r="D912" s="1037"/>
      <c r="E912" s="1037"/>
      <c r="F912" s="1037"/>
      <c r="G912" s="1037"/>
      <c r="H912" s="1018"/>
      <c r="I912" s="1037"/>
      <c r="J912" s="1037"/>
      <c r="K912" s="1037"/>
      <c r="L912" s="1037"/>
      <c r="M912" s="1037"/>
      <c r="N912" s="1037"/>
      <c r="O912" s="1037"/>
      <c r="P912" s="1037"/>
      <c r="Q912" s="1037"/>
      <c r="R912" s="1037"/>
      <c r="S912" s="1037"/>
      <c r="T912" s="1037"/>
      <c r="U912" s="1037"/>
      <c r="V912" s="1037"/>
      <c r="W912" s="1037"/>
      <c r="X912" s="1037"/>
      <c r="Y912" s="1037"/>
      <c r="Z912" s="1037"/>
      <c r="AA912" s="1037"/>
      <c r="AB912" s="1037"/>
      <c r="AC912" s="1037"/>
      <c r="AD912" s="1037"/>
      <c r="AE912" s="1037"/>
      <c r="AF912" s="1037"/>
      <c r="AG912" s="1037"/>
      <c r="AH912" s="1037"/>
      <c r="AI912" s="1037"/>
      <c r="AJ912" s="1037"/>
      <c r="AK912" s="1037"/>
      <c r="AL912" s="1037"/>
      <c r="AM912" s="1037"/>
      <c r="AN912" s="1037"/>
      <c r="AO912" s="1037"/>
      <c r="AP912" s="1037"/>
    </row>
    <row r="913" spans="1:42" s="226" customFormat="1">
      <c r="A913" s="2060"/>
      <c r="B913" s="1037"/>
      <c r="C913" s="1037"/>
      <c r="D913" s="1037"/>
      <c r="E913" s="1037"/>
      <c r="F913" s="1037"/>
      <c r="G913" s="1037"/>
      <c r="H913" s="1018"/>
      <c r="I913" s="1037"/>
      <c r="J913" s="1037"/>
      <c r="K913" s="1037"/>
      <c r="L913" s="1037"/>
      <c r="M913" s="1037"/>
      <c r="N913" s="1037"/>
      <c r="O913" s="1037"/>
      <c r="P913" s="1037"/>
      <c r="Q913" s="1037"/>
      <c r="R913" s="1037"/>
      <c r="S913" s="1037"/>
      <c r="T913" s="1037"/>
      <c r="U913" s="1037"/>
      <c r="V913" s="1037"/>
      <c r="W913" s="1037"/>
      <c r="X913" s="1037"/>
      <c r="Y913" s="1037"/>
      <c r="Z913" s="1037"/>
      <c r="AA913" s="1037"/>
      <c r="AB913" s="1037"/>
      <c r="AC913" s="1037"/>
      <c r="AD913" s="1037"/>
      <c r="AE913" s="1037"/>
      <c r="AF913" s="1037"/>
      <c r="AG913" s="1037"/>
      <c r="AH913" s="1037"/>
      <c r="AI913" s="1037"/>
      <c r="AJ913" s="1037"/>
      <c r="AK913" s="1037"/>
      <c r="AL913" s="1037"/>
      <c r="AM913" s="1037"/>
      <c r="AN913" s="1037"/>
      <c r="AO913" s="1037"/>
      <c r="AP913" s="1037"/>
    </row>
    <row r="914" spans="1:42" s="226" customFormat="1">
      <c r="A914" s="2060"/>
      <c r="B914" s="1037"/>
      <c r="C914" s="1037"/>
      <c r="D914" s="1037"/>
      <c r="E914" s="1037"/>
      <c r="F914" s="1037"/>
      <c r="G914" s="1037"/>
      <c r="H914" s="1018"/>
      <c r="I914" s="1037"/>
      <c r="J914" s="1037"/>
      <c r="K914" s="1037"/>
      <c r="L914" s="1037"/>
      <c r="M914" s="1037"/>
      <c r="N914" s="1037"/>
      <c r="O914" s="1037"/>
      <c r="P914" s="1037"/>
      <c r="Q914" s="1037"/>
      <c r="R914" s="1037"/>
      <c r="S914" s="1037"/>
      <c r="T914" s="1037"/>
      <c r="U914" s="1037"/>
      <c r="V914" s="1037"/>
      <c r="W914" s="1037"/>
      <c r="X914" s="1037"/>
      <c r="Y914" s="1037"/>
      <c r="Z914" s="1037"/>
      <c r="AA914" s="1037"/>
      <c r="AB914" s="1037"/>
      <c r="AC914" s="1037"/>
      <c r="AD914" s="1037"/>
      <c r="AE914" s="1037"/>
      <c r="AF914" s="1037"/>
      <c r="AG914" s="1037"/>
      <c r="AH914" s="1037"/>
      <c r="AI914" s="1037"/>
      <c r="AJ914" s="1037"/>
      <c r="AK914" s="1037"/>
      <c r="AL914" s="1037"/>
      <c r="AM914" s="1037"/>
      <c r="AN914" s="1037"/>
      <c r="AO914" s="1037"/>
      <c r="AP914" s="1037"/>
    </row>
    <row r="915" spans="1:42" s="226" customFormat="1">
      <c r="A915" s="2060"/>
      <c r="B915" s="1037"/>
      <c r="C915" s="1037"/>
      <c r="D915" s="1037"/>
      <c r="E915" s="1037"/>
      <c r="F915" s="1037"/>
      <c r="G915" s="1037"/>
      <c r="H915" s="1018"/>
      <c r="I915" s="1037"/>
      <c r="J915" s="1037"/>
      <c r="K915" s="1037"/>
      <c r="L915" s="1037"/>
      <c r="M915" s="1037"/>
      <c r="N915" s="1037"/>
      <c r="O915" s="1037"/>
      <c r="P915" s="1037"/>
      <c r="Q915" s="1037"/>
      <c r="R915" s="1037"/>
      <c r="S915" s="1037"/>
      <c r="T915" s="1037"/>
      <c r="U915" s="1037"/>
      <c r="V915" s="1037"/>
      <c r="W915" s="1037"/>
      <c r="X915" s="1037"/>
      <c r="Y915" s="1037"/>
      <c r="Z915" s="1037"/>
      <c r="AA915" s="1037"/>
      <c r="AB915" s="1037"/>
      <c r="AC915" s="1037"/>
      <c r="AD915" s="1037"/>
      <c r="AE915" s="1037"/>
      <c r="AF915" s="1037"/>
      <c r="AG915" s="1037"/>
      <c r="AH915" s="1037"/>
      <c r="AI915" s="1037"/>
      <c r="AJ915" s="1037"/>
      <c r="AK915" s="1037"/>
      <c r="AL915" s="1037"/>
      <c r="AM915" s="1037"/>
      <c r="AN915" s="1037"/>
      <c r="AO915" s="1037"/>
      <c r="AP915" s="1037"/>
    </row>
    <row r="916" spans="1:42" s="226" customFormat="1">
      <c r="A916" s="2060"/>
      <c r="B916" s="1037"/>
      <c r="C916" s="1037"/>
      <c r="D916" s="1037"/>
      <c r="E916" s="1037"/>
      <c r="F916" s="1037"/>
      <c r="G916" s="1037"/>
      <c r="H916" s="1018"/>
      <c r="I916" s="1037"/>
      <c r="J916" s="1037"/>
      <c r="K916" s="1037"/>
      <c r="L916" s="1037"/>
      <c r="M916" s="1037"/>
      <c r="N916" s="1037"/>
      <c r="O916" s="1037"/>
      <c r="P916" s="1037"/>
      <c r="Q916" s="1037"/>
      <c r="R916" s="1037"/>
      <c r="S916" s="1037"/>
      <c r="T916" s="1037"/>
      <c r="U916" s="1037"/>
      <c r="V916" s="1037"/>
      <c r="W916" s="1037"/>
      <c r="X916" s="1037"/>
      <c r="Y916" s="1037"/>
      <c r="Z916" s="1037"/>
      <c r="AA916" s="1037"/>
      <c r="AB916" s="1037"/>
      <c r="AC916" s="1037"/>
      <c r="AD916" s="1037"/>
      <c r="AE916" s="1037"/>
      <c r="AF916" s="1037"/>
      <c r="AG916" s="1037"/>
      <c r="AH916" s="1037"/>
      <c r="AI916" s="1037"/>
      <c r="AJ916" s="1037"/>
      <c r="AK916" s="1037"/>
      <c r="AL916" s="1037"/>
      <c r="AM916" s="1037"/>
      <c r="AN916" s="1037"/>
      <c r="AO916" s="1037"/>
      <c r="AP916" s="1037"/>
    </row>
    <row r="917" spans="1:42" s="226" customFormat="1">
      <c r="A917" s="2060"/>
      <c r="B917" s="1037"/>
      <c r="C917" s="1037"/>
      <c r="D917" s="1037"/>
      <c r="E917" s="1037"/>
      <c r="F917" s="1037"/>
      <c r="G917" s="1037"/>
      <c r="H917" s="1018"/>
      <c r="I917" s="1037"/>
      <c r="J917" s="1037"/>
      <c r="K917" s="1037"/>
      <c r="L917" s="1037"/>
      <c r="M917" s="1037"/>
      <c r="N917" s="1037"/>
      <c r="O917" s="1037"/>
      <c r="P917" s="1037"/>
      <c r="Q917" s="1037"/>
      <c r="R917" s="1037"/>
      <c r="S917" s="1037"/>
      <c r="T917" s="1037"/>
      <c r="U917" s="1037"/>
      <c r="V917" s="1037"/>
      <c r="W917" s="1037"/>
      <c r="X917" s="1037"/>
      <c r="Y917" s="1037"/>
      <c r="Z917" s="1037"/>
      <c r="AA917" s="1037"/>
      <c r="AB917" s="1037"/>
      <c r="AC917" s="1037"/>
      <c r="AD917" s="1037"/>
      <c r="AE917" s="1037"/>
      <c r="AF917" s="1037"/>
      <c r="AG917" s="1037"/>
      <c r="AH917" s="1037"/>
      <c r="AI917" s="1037"/>
      <c r="AJ917" s="1037"/>
      <c r="AK917" s="1037"/>
      <c r="AL917" s="1037"/>
      <c r="AM917" s="1037"/>
      <c r="AN917" s="1037"/>
      <c r="AO917" s="1037"/>
      <c r="AP917" s="1037"/>
    </row>
    <row r="918" spans="1:42" s="226" customFormat="1">
      <c r="A918" s="2060"/>
      <c r="B918" s="1037"/>
      <c r="C918" s="1037"/>
      <c r="D918" s="1037"/>
      <c r="E918" s="1037"/>
      <c r="F918" s="1037"/>
      <c r="G918" s="1037"/>
      <c r="H918" s="1018"/>
      <c r="I918" s="1037"/>
      <c r="J918" s="1037"/>
      <c r="K918" s="1037"/>
      <c r="L918" s="1037"/>
      <c r="M918" s="1037"/>
      <c r="N918" s="1037"/>
      <c r="O918" s="1037"/>
      <c r="P918" s="1037"/>
      <c r="Q918" s="1037"/>
      <c r="R918" s="1037"/>
      <c r="S918" s="1037"/>
      <c r="T918" s="1037"/>
      <c r="U918" s="1037"/>
      <c r="V918" s="1037"/>
      <c r="W918" s="1037"/>
      <c r="X918" s="1037"/>
      <c r="Y918" s="1037"/>
      <c r="Z918" s="1037"/>
      <c r="AA918" s="1037"/>
      <c r="AB918" s="1037"/>
      <c r="AC918" s="1037"/>
      <c r="AD918" s="1037"/>
      <c r="AE918" s="1037"/>
      <c r="AF918" s="1037"/>
      <c r="AG918" s="1037"/>
      <c r="AH918" s="1037"/>
      <c r="AI918" s="1037"/>
      <c r="AJ918" s="1037"/>
      <c r="AK918" s="1037"/>
      <c r="AL918" s="1037"/>
      <c r="AM918" s="1037"/>
      <c r="AN918" s="1037"/>
      <c r="AO918" s="1037"/>
      <c r="AP918" s="1037"/>
    </row>
    <row r="919" spans="1:42" s="226" customFormat="1">
      <c r="A919" s="2060"/>
      <c r="B919" s="1037"/>
      <c r="C919" s="1037"/>
      <c r="D919" s="1037"/>
      <c r="E919" s="1037"/>
      <c r="F919" s="1037"/>
      <c r="G919" s="1037"/>
      <c r="H919" s="1018"/>
      <c r="I919" s="1037"/>
      <c r="J919" s="1037"/>
      <c r="K919" s="1037"/>
      <c r="L919" s="1037"/>
      <c r="M919" s="1037"/>
      <c r="N919" s="1037"/>
      <c r="O919" s="1037"/>
      <c r="P919" s="1037"/>
      <c r="Q919" s="1037"/>
      <c r="R919" s="1037"/>
      <c r="S919" s="1037"/>
      <c r="T919" s="1037"/>
      <c r="U919" s="1037"/>
      <c r="V919" s="1037"/>
      <c r="W919" s="1037"/>
      <c r="X919" s="1037"/>
      <c r="Y919" s="1037"/>
      <c r="Z919" s="1037"/>
      <c r="AA919" s="1037"/>
      <c r="AB919" s="1037"/>
      <c r="AC919" s="1037"/>
      <c r="AD919" s="1037"/>
      <c r="AE919" s="1037"/>
      <c r="AF919" s="1037"/>
      <c r="AG919" s="1037"/>
      <c r="AH919" s="1037"/>
      <c r="AI919" s="1037"/>
      <c r="AJ919" s="1037"/>
      <c r="AK919" s="1037"/>
      <c r="AL919" s="1037"/>
      <c r="AM919" s="1037"/>
      <c r="AN919" s="1037"/>
      <c r="AO919" s="1037"/>
      <c r="AP919" s="1037"/>
    </row>
    <row r="920" spans="1:42" s="226" customFormat="1">
      <c r="A920" s="2060"/>
      <c r="B920" s="1037"/>
      <c r="C920" s="1037"/>
      <c r="D920" s="1037"/>
      <c r="E920" s="1037"/>
      <c r="F920" s="1037"/>
      <c r="G920" s="1037"/>
      <c r="H920" s="1018"/>
      <c r="I920" s="1037"/>
      <c r="J920" s="1037"/>
      <c r="K920" s="1037"/>
      <c r="L920" s="1037"/>
      <c r="M920" s="1037"/>
      <c r="N920" s="1037"/>
      <c r="O920" s="1037"/>
      <c r="P920" s="1037"/>
      <c r="Q920" s="1037"/>
      <c r="R920" s="1037"/>
      <c r="S920" s="1037"/>
      <c r="T920" s="1037"/>
      <c r="U920" s="1037"/>
      <c r="V920" s="1037"/>
      <c r="W920" s="1037"/>
      <c r="X920" s="1037"/>
      <c r="Y920" s="1037"/>
      <c r="Z920" s="1037"/>
      <c r="AA920" s="1037"/>
      <c r="AB920" s="1037"/>
      <c r="AC920" s="1037"/>
      <c r="AD920" s="1037"/>
      <c r="AE920" s="1037"/>
      <c r="AF920" s="1037"/>
      <c r="AG920" s="1037"/>
      <c r="AH920" s="1037"/>
      <c r="AI920" s="1037"/>
      <c r="AJ920" s="1037"/>
      <c r="AK920" s="1037"/>
      <c r="AL920" s="1037"/>
      <c r="AM920" s="1037"/>
      <c r="AN920" s="1037"/>
      <c r="AO920" s="1037"/>
      <c r="AP920" s="1037"/>
    </row>
    <row r="921" spans="1:42" s="226" customFormat="1">
      <c r="A921" s="2060"/>
      <c r="B921" s="1037"/>
      <c r="C921" s="1037"/>
      <c r="D921" s="1037"/>
      <c r="E921" s="1037"/>
      <c r="F921" s="1037"/>
      <c r="G921" s="1037"/>
      <c r="H921" s="1018"/>
      <c r="I921" s="1037"/>
      <c r="J921" s="1037"/>
      <c r="K921" s="1037"/>
      <c r="L921" s="1037"/>
      <c r="M921" s="1037"/>
      <c r="N921" s="1037"/>
      <c r="O921" s="1037"/>
      <c r="P921" s="1037"/>
      <c r="Q921" s="1037"/>
      <c r="R921" s="1037"/>
      <c r="S921" s="1037"/>
      <c r="T921" s="1037"/>
      <c r="U921" s="1037"/>
      <c r="V921" s="1037"/>
      <c r="W921" s="1037"/>
      <c r="X921" s="1037"/>
      <c r="Y921" s="1037"/>
      <c r="Z921" s="1037"/>
      <c r="AA921" s="1037"/>
      <c r="AB921" s="1037"/>
      <c r="AC921" s="1037"/>
      <c r="AD921" s="1037"/>
      <c r="AE921" s="1037"/>
      <c r="AF921" s="1037"/>
      <c r="AG921" s="1037"/>
      <c r="AH921" s="1037"/>
      <c r="AI921" s="1037"/>
      <c r="AJ921" s="1037"/>
      <c r="AK921" s="1037"/>
      <c r="AL921" s="1037"/>
      <c r="AM921" s="1037"/>
      <c r="AN921" s="1037"/>
      <c r="AO921" s="1037"/>
      <c r="AP921" s="1037"/>
    </row>
    <row r="922" spans="1:42" s="226" customFormat="1">
      <c r="A922" s="2060"/>
      <c r="B922" s="1037"/>
      <c r="C922" s="1037"/>
      <c r="D922" s="1037"/>
      <c r="E922" s="1037"/>
      <c r="F922" s="1037"/>
      <c r="G922" s="1037"/>
      <c r="H922" s="1018"/>
      <c r="I922" s="1037"/>
      <c r="J922" s="1037"/>
      <c r="K922" s="1037"/>
      <c r="L922" s="1037"/>
      <c r="M922" s="1037"/>
      <c r="N922" s="1037"/>
      <c r="O922" s="1037"/>
      <c r="P922" s="1037"/>
      <c r="Q922" s="1037"/>
      <c r="R922" s="1037"/>
      <c r="S922" s="1037"/>
      <c r="T922" s="1037"/>
      <c r="U922" s="1037"/>
      <c r="V922" s="1037"/>
      <c r="W922" s="1037"/>
      <c r="X922" s="1037"/>
      <c r="Y922" s="1037"/>
      <c r="Z922" s="1037"/>
      <c r="AA922" s="1037"/>
      <c r="AB922" s="1037"/>
      <c r="AC922" s="1037"/>
      <c r="AD922" s="1037"/>
      <c r="AE922" s="1037"/>
      <c r="AF922" s="1037"/>
      <c r="AG922" s="1037"/>
      <c r="AH922" s="1037"/>
      <c r="AI922" s="1037"/>
      <c r="AJ922" s="1037"/>
      <c r="AK922" s="1037"/>
      <c r="AL922" s="1037"/>
      <c r="AM922" s="1037"/>
      <c r="AN922" s="1037"/>
      <c r="AO922" s="1037"/>
      <c r="AP922" s="1037"/>
    </row>
    <row r="923" spans="1:42" s="226" customFormat="1">
      <c r="A923" s="2060"/>
      <c r="B923" s="1037"/>
      <c r="C923" s="1037"/>
      <c r="D923" s="1037"/>
      <c r="E923" s="1037"/>
      <c r="F923" s="1037"/>
      <c r="G923" s="1037"/>
      <c r="H923" s="1018"/>
      <c r="I923" s="1037"/>
      <c r="J923" s="1037"/>
      <c r="K923" s="1037"/>
      <c r="L923" s="1037"/>
      <c r="M923" s="1037"/>
      <c r="N923" s="1037"/>
      <c r="O923" s="1037"/>
      <c r="P923" s="1037"/>
      <c r="Q923" s="1037"/>
      <c r="R923" s="1037"/>
      <c r="S923" s="1037"/>
      <c r="T923" s="1037"/>
      <c r="U923" s="1037"/>
      <c r="V923" s="1037"/>
      <c r="W923" s="1037"/>
      <c r="X923" s="1037"/>
      <c r="Y923" s="1037"/>
      <c r="Z923" s="1037"/>
      <c r="AA923" s="1037"/>
      <c r="AB923" s="1037"/>
      <c r="AC923" s="1037"/>
      <c r="AD923" s="1037"/>
      <c r="AE923" s="1037"/>
      <c r="AF923" s="1037"/>
      <c r="AG923" s="1037"/>
      <c r="AH923" s="1037"/>
      <c r="AI923" s="1037"/>
      <c r="AJ923" s="1037"/>
      <c r="AK923" s="1037"/>
      <c r="AL923" s="1037"/>
      <c r="AM923" s="1037"/>
      <c r="AN923" s="1037"/>
      <c r="AO923" s="1037"/>
      <c r="AP923" s="1037"/>
    </row>
    <row r="924" spans="1:42" s="226" customFormat="1">
      <c r="A924" s="2060"/>
      <c r="B924" s="1037"/>
      <c r="C924" s="1037"/>
      <c r="D924" s="1037"/>
      <c r="E924" s="1037"/>
      <c r="F924" s="1037"/>
      <c r="G924" s="1037"/>
      <c r="H924" s="1018"/>
      <c r="I924" s="1037"/>
      <c r="J924" s="1037"/>
      <c r="K924" s="1037"/>
      <c r="L924" s="1037"/>
      <c r="M924" s="1037"/>
      <c r="N924" s="1037"/>
      <c r="O924" s="1037"/>
      <c r="P924" s="1037"/>
      <c r="Q924" s="1037"/>
      <c r="R924" s="1037"/>
      <c r="S924" s="1037"/>
      <c r="T924" s="1037"/>
      <c r="U924" s="1037"/>
      <c r="V924" s="1037"/>
      <c r="W924" s="1037"/>
      <c r="X924" s="1037"/>
      <c r="Y924" s="1037"/>
      <c r="Z924" s="1037"/>
      <c r="AA924" s="1037"/>
      <c r="AB924" s="1037"/>
      <c r="AC924" s="1037"/>
      <c r="AD924" s="1037"/>
      <c r="AE924" s="1037"/>
      <c r="AF924" s="1037"/>
      <c r="AG924" s="1037"/>
      <c r="AH924" s="1037"/>
      <c r="AI924" s="1037"/>
      <c r="AJ924" s="1037"/>
      <c r="AK924" s="1037"/>
      <c r="AL924" s="1037"/>
      <c r="AM924" s="1037"/>
      <c r="AN924" s="1037"/>
      <c r="AO924" s="1037"/>
      <c r="AP924" s="1037"/>
    </row>
    <row r="925" spans="1:42" s="226" customFormat="1">
      <c r="A925" s="2060"/>
      <c r="B925" s="1037"/>
      <c r="C925" s="1037"/>
      <c r="D925" s="1037"/>
      <c r="E925" s="1037"/>
      <c r="F925" s="1037"/>
      <c r="G925" s="1037"/>
      <c r="H925" s="1018"/>
      <c r="I925" s="1037"/>
      <c r="J925" s="1037"/>
      <c r="K925" s="1037"/>
      <c r="L925" s="1037"/>
      <c r="M925" s="1037"/>
      <c r="N925" s="1037"/>
      <c r="O925" s="1037"/>
      <c r="P925" s="1037"/>
      <c r="Q925" s="1037"/>
      <c r="R925" s="1037"/>
      <c r="S925" s="1037"/>
      <c r="T925" s="1037"/>
      <c r="U925" s="1037"/>
      <c r="V925" s="1037"/>
      <c r="W925" s="1037"/>
      <c r="X925" s="1037"/>
      <c r="Y925" s="1037"/>
      <c r="Z925" s="1037"/>
      <c r="AA925" s="1037"/>
      <c r="AB925" s="1037"/>
      <c r="AC925" s="1037"/>
      <c r="AD925" s="1037"/>
      <c r="AE925" s="1037"/>
      <c r="AF925" s="1037"/>
      <c r="AG925" s="1037"/>
      <c r="AH925" s="1037"/>
      <c r="AI925" s="1037"/>
      <c r="AJ925" s="1037"/>
      <c r="AK925" s="1037"/>
      <c r="AL925" s="1037"/>
      <c r="AM925" s="1037"/>
      <c r="AN925" s="1037"/>
      <c r="AO925" s="1037"/>
      <c r="AP925" s="1037"/>
    </row>
    <row r="926" spans="1:42" s="226" customFormat="1">
      <c r="A926" s="2060"/>
      <c r="B926" s="1037"/>
      <c r="C926" s="1037"/>
      <c r="D926" s="1037"/>
      <c r="E926" s="1037"/>
      <c r="F926" s="1037"/>
      <c r="G926" s="1037"/>
      <c r="H926" s="1018"/>
      <c r="I926" s="1037"/>
      <c r="J926" s="1037"/>
      <c r="K926" s="1037"/>
      <c r="L926" s="1037"/>
      <c r="M926" s="1037"/>
      <c r="N926" s="1037"/>
      <c r="O926" s="1037"/>
      <c r="P926" s="1037"/>
      <c r="Q926" s="1037"/>
      <c r="R926" s="1037"/>
      <c r="S926" s="1037"/>
      <c r="T926" s="1037"/>
      <c r="U926" s="1037"/>
      <c r="V926" s="1037"/>
      <c r="W926" s="1037"/>
      <c r="X926" s="1037"/>
      <c r="Y926" s="1037"/>
      <c r="Z926" s="1037"/>
      <c r="AA926" s="1037"/>
      <c r="AB926" s="1037"/>
      <c r="AC926" s="1037"/>
      <c r="AD926" s="1037"/>
      <c r="AE926" s="1037"/>
      <c r="AF926" s="1037"/>
      <c r="AG926" s="1037"/>
      <c r="AH926" s="1037"/>
      <c r="AI926" s="1037"/>
      <c r="AJ926" s="1037"/>
      <c r="AK926" s="1037"/>
      <c r="AL926" s="1037"/>
      <c r="AM926" s="1037"/>
      <c r="AN926" s="1037"/>
      <c r="AO926" s="1037"/>
      <c r="AP926" s="1037"/>
    </row>
    <row r="927" spans="1:42" s="226" customFormat="1">
      <c r="A927" s="2060"/>
      <c r="B927" s="1037"/>
      <c r="C927" s="1037"/>
      <c r="D927" s="1037"/>
      <c r="E927" s="1037"/>
      <c r="F927" s="1037"/>
      <c r="G927" s="1037"/>
      <c r="H927" s="1018"/>
      <c r="I927" s="1037"/>
      <c r="J927" s="1037"/>
      <c r="K927" s="1037"/>
      <c r="L927" s="1037"/>
      <c r="M927" s="1037"/>
      <c r="N927" s="1037"/>
      <c r="O927" s="1037"/>
      <c r="P927" s="1037"/>
      <c r="Q927" s="1037"/>
      <c r="R927" s="1037"/>
      <c r="S927" s="1037"/>
      <c r="T927" s="1037"/>
      <c r="U927" s="1037"/>
      <c r="V927" s="1037"/>
      <c r="W927" s="1037"/>
      <c r="X927" s="1037"/>
      <c r="Y927" s="1037"/>
      <c r="Z927" s="1037"/>
      <c r="AA927" s="1037"/>
      <c r="AB927" s="1037"/>
      <c r="AC927" s="1037"/>
      <c r="AD927" s="1037"/>
      <c r="AE927" s="1037"/>
      <c r="AF927" s="1037"/>
      <c r="AG927" s="1037"/>
      <c r="AH927" s="1037"/>
      <c r="AI927" s="1037"/>
      <c r="AJ927" s="1037"/>
      <c r="AK927" s="1037"/>
      <c r="AL927" s="1037"/>
      <c r="AM927" s="1037"/>
      <c r="AN927" s="1037"/>
      <c r="AO927" s="1037"/>
      <c r="AP927" s="1037"/>
    </row>
    <row r="928" spans="1:42" s="226" customFormat="1">
      <c r="A928" s="2060"/>
      <c r="B928" s="1037"/>
      <c r="C928" s="1037"/>
      <c r="D928" s="1037"/>
      <c r="E928" s="1037"/>
      <c r="F928" s="1037"/>
      <c r="G928" s="1037"/>
      <c r="H928" s="1018"/>
      <c r="I928" s="1037"/>
      <c r="J928" s="1037"/>
      <c r="K928" s="1037"/>
      <c r="L928" s="1037"/>
      <c r="M928" s="1037"/>
      <c r="N928" s="1037"/>
      <c r="O928" s="1037"/>
      <c r="P928" s="1037"/>
      <c r="Q928" s="1037"/>
      <c r="R928" s="1037"/>
      <c r="S928" s="1037"/>
      <c r="T928" s="1037"/>
      <c r="U928" s="1037"/>
      <c r="V928" s="1037"/>
      <c r="W928" s="1037"/>
      <c r="X928" s="1037"/>
      <c r="Y928" s="1037"/>
      <c r="Z928" s="1037"/>
      <c r="AA928" s="1037"/>
      <c r="AB928" s="1037"/>
      <c r="AC928" s="1037"/>
      <c r="AD928" s="1037"/>
      <c r="AE928" s="1037"/>
      <c r="AF928" s="1037"/>
      <c r="AG928" s="1037"/>
      <c r="AH928" s="1037"/>
      <c r="AI928" s="1037"/>
      <c r="AJ928" s="1037"/>
      <c r="AK928" s="1037"/>
      <c r="AL928" s="1037"/>
      <c r="AM928" s="1037"/>
      <c r="AN928" s="1037"/>
      <c r="AO928" s="1037"/>
      <c r="AP928" s="1037"/>
    </row>
    <row r="929" spans="1:42" s="226" customFormat="1">
      <c r="A929" s="2060"/>
      <c r="B929" s="1037"/>
      <c r="C929" s="1037"/>
      <c r="D929" s="1037"/>
      <c r="E929" s="1037"/>
      <c r="F929" s="1037"/>
      <c r="G929" s="1037"/>
      <c r="H929" s="1018"/>
      <c r="I929" s="1037"/>
      <c r="J929" s="1037"/>
      <c r="K929" s="1037"/>
      <c r="L929" s="1037"/>
      <c r="M929" s="1037"/>
      <c r="N929" s="1037"/>
      <c r="O929" s="1037"/>
      <c r="P929" s="1037"/>
      <c r="Q929" s="1037"/>
      <c r="R929" s="1037"/>
      <c r="S929" s="1037"/>
      <c r="T929" s="1037"/>
      <c r="U929" s="1037"/>
      <c r="V929" s="1037"/>
      <c r="W929" s="1037"/>
      <c r="X929" s="1037"/>
      <c r="Y929" s="1037"/>
      <c r="Z929" s="1037"/>
      <c r="AA929" s="1037"/>
      <c r="AB929" s="1037"/>
      <c r="AC929" s="1037"/>
      <c r="AD929" s="1037"/>
      <c r="AE929" s="1037"/>
      <c r="AF929" s="1037"/>
      <c r="AG929" s="1037"/>
      <c r="AH929" s="1037"/>
      <c r="AI929" s="1037"/>
      <c r="AJ929" s="1037"/>
      <c r="AK929" s="1037"/>
      <c r="AL929" s="1037"/>
      <c r="AM929" s="1037"/>
      <c r="AN929" s="1037"/>
      <c r="AO929" s="1037"/>
      <c r="AP929" s="1037"/>
    </row>
    <row r="930" spans="1:42" s="226" customFormat="1">
      <c r="A930" s="2060"/>
      <c r="B930" s="1037"/>
      <c r="C930" s="1037"/>
      <c r="D930" s="1037"/>
      <c r="E930" s="1037"/>
      <c r="F930" s="1037"/>
      <c r="G930" s="1037"/>
      <c r="H930" s="1018"/>
      <c r="I930" s="1037"/>
      <c r="J930" s="1037"/>
      <c r="K930" s="1037"/>
      <c r="L930" s="1037"/>
      <c r="M930" s="1037"/>
      <c r="N930" s="1037"/>
      <c r="O930" s="1037"/>
      <c r="P930" s="1037"/>
      <c r="Q930" s="1037"/>
      <c r="R930" s="1037"/>
      <c r="S930" s="1037"/>
      <c r="T930" s="1037"/>
      <c r="U930" s="1037"/>
      <c r="V930" s="1037"/>
      <c r="W930" s="1037"/>
      <c r="X930" s="1037"/>
      <c r="Y930" s="1037"/>
      <c r="Z930" s="1037"/>
      <c r="AA930" s="1037"/>
      <c r="AB930" s="1037"/>
      <c r="AC930" s="1037"/>
      <c r="AD930" s="1037"/>
      <c r="AE930" s="1037"/>
      <c r="AF930" s="1037"/>
      <c r="AG930" s="1037"/>
      <c r="AH930" s="1037"/>
      <c r="AI930" s="1037"/>
      <c r="AJ930" s="1037"/>
      <c r="AK930" s="1037"/>
      <c r="AL930" s="1037"/>
      <c r="AM930" s="1037"/>
      <c r="AN930" s="1037"/>
      <c r="AO930" s="1037"/>
      <c r="AP930" s="1037"/>
    </row>
    <row r="931" spans="1:42" s="226" customFormat="1">
      <c r="A931" s="2060"/>
      <c r="B931" s="1037"/>
      <c r="C931" s="1037"/>
      <c r="D931" s="1037"/>
      <c r="E931" s="1037"/>
      <c r="F931" s="1037"/>
      <c r="G931" s="1037"/>
      <c r="H931" s="1018"/>
      <c r="I931" s="1037"/>
      <c r="J931" s="1037"/>
      <c r="K931" s="1037"/>
      <c r="L931" s="1037"/>
      <c r="M931" s="1037"/>
      <c r="N931" s="1037"/>
      <c r="O931" s="1037"/>
      <c r="P931" s="1037"/>
      <c r="Q931" s="1037"/>
      <c r="R931" s="1037"/>
      <c r="S931" s="1037"/>
      <c r="T931" s="1037"/>
      <c r="U931" s="1037"/>
      <c r="V931" s="1037"/>
      <c r="W931" s="1037"/>
      <c r="X931" s="1037"/>
      <c r="Y931" s="1037"/>
      <c r="Z931" s="1037"/>
      <c r="AA931" s="1037"/>
      <c r="AB931" s="1037"/>
      <c r="AC931" s="1037"/>
      <c r="AD931" s="1037"/>
      <c r="AE931" s="1037"/>
      <c r="AF931" s="1037"/>
      <c r="AG931" s="1037"/>
      <c r="AH931" s="1037"/>
      <c r="AI931" s="1037"/>
      <c r="AJ931" s="1037"/>
      <c r="AK931" s="1037"/>
      <c r="AL931" s="1037"/>
      <c r="AM931" s="1037"/>
      <c r="AN931" s="1037"/>
      <c r="AO931" s="1037"/>
      <c r="AP931" s="1037"/>
    </row>
    <row r="932" spans="1:42" s="226" customFormat="1">
      <c r="A932" s="2060"/>
      <c r="B932" s="1037"/>
      <c r="C932" s="1037"/>
      <c r="D932" s="1037"/>
      <c r="E932" s="1037"/>
      <c r="F932" s="1037"/>
      <c r="G932" s="1037"/>
      <c r="H932" s="1018"/>
      <c r="I932" s="1037"/>
      <c r="J932" s="1037"/>
      <c r="K932" s="1037"/>
      <c r="L932" s="1037"/>
      <c r="M932" s="1037"/>
      <c r="N932" s="1037"/>
      <c r="O932" s="1037"/>
      <c r="P932" s="1037"/>
      <c r="Q932" s="1037"/>
      <c r="R932" s="1037"/>
      <c r="S932" s="1037"/>
      <c r="T932" s="1037"/>
      <c r="U932" s="1037"/>
      <c r="V932" s="1037"/>
      <c r="W932" s="1037"/>
      <c r="X932" s="1037"/>
      <c r="Y932" s="1037"/>
      <c r="Z932" s="1037"/>
      <c r="AA932" s="1037"/>
      <c r="AB932" s="1037"/>
      <c r="AC932" s="1037"/>
      <c r="AD932" s="1037"/>
      <c r="AE932" s="1037"/>
      <c r="AF932" s="1037"/>
      <c r="AG932" s="1037"/>
      <c r="AH932" s="1037"/>
      <c r="AI932" s="1037"/>
      <c r="AJ932" s="1037"/>
      <c r="AK932" s="1037"/>
      <c r="AL932" s="1037"/>
      <c r="AM932" s="1037"/>
      <c r="AN932" s="1037"/>
      <c r="AO932" s="1037"/>
      <c r="AP932" s="1037"/>
    </row>
    <row r="933" spans="1:42" s="226" customFormat="1">
      <c r="A933" s="2060"/>
      <c r="B933" s="1037"/>
      <c r="C933" s="1037"/>
      <c r="D933" s="1037"/>
      <c r="E933" s="1037"/>
      <c r="F933" s="1037"/>
      <c r="G933" s="1037"/>
      <c r="H933" s="1018"/>
      <c r="I933" s="1037"/>
      <c r="J933" s="1037"/>
      <c r="K933" s="1037"/>
      <c r="L933" s="1037"/>
      <c r="M933" s="1037"/>
      <c r="N933" s="1037"/>
      <c r="O933" s="1037"/>
      <c r="P933" s="1037"/>
      <c r="Q933" s="1037"/>
      <c r="R933" s="1037"/>
      <c r="S933" s="1037"/>
      <c r="T933" s="1037"/>
      <c r="U933" s="1037"/>
      <c r="V933" s="1037"/>
      <c r="W933" s="1037"/>
      <c r="X933" s="1037"/>
      <c r="Y933" s="1037"/>
      <c r="Z933" s="1037"/>
      <c r="AA933" s="1037"/>
      <c r="AB933" s="1037"/>
      <c r="AC933" s="1037"/>
      <c r="AD933" s="1037"/>
      <c r="AE933" s="1037"/>
      <c r="AF933" s="1037"/>
      <c r="AG933" s="1037"/>
      <c r="AH933" s="1037"/>
      <c r="AI933" s="1037"/>
      <c r="AJ933" s="1037"/>
      <c r="AK933" s="1037"/>
      <c r="AL933" s="1037"/>
      <c r="AM933" s="1037"/>
      <c r="AN933" s="1037"/>
      <c r="AO933" s="1037"/>
      <c r="AP933" s="1037"/>
    </row>
    <row r="934" spans="1:42" s="226" customFormat="1">
      <c r="A934" s="2060"/>
      <c r="B934" s="1037"/>
      <c r="C934" s="1037"/>
      <c r="D934" s="1037"/>
      <c r="E934" s="1037"/>
      <c r="F934" s="1037"/>
      <c r="G934" s="1037"/>
      <c r="H934" s="1018"/>
      <c r="I934" s="1037"/>
      <c r="J934" s="1037"/>
      <c r="K934" s="1037"/>
      <c r="L934" s="1037"/>
      <c r="M934" s="1037"/>
      <c r="N934" s="1037"/>
      <c r="O934" s="1037"/>
      <c r="P934" s="1037"/>
      <c r="Q934" s="1037"/>
      <c r="R934" s="1037"/>
      <c r="S934" s="1037"/>
      <c r="T934" s="1037"/>
      <c r="U934" s="1037"/>
      <c r="V934" s="1037"/>
      <c r="W934" s="1037"/>
      <c r="X934" s="1037"/>
      <c r="Y934" s="1037"/>
      <c r="Z934" s="1037"/>
      <c r="AA934" s="1037"/>
      <c r="AB934" s="1037"/>
      <c r="AC934" s="1037"/>
      <c r="AD934" s="1037"/>
      <c r="AE934" s="1037"/>
      <c r="AF934" s="1037"/>
      <c r="AG934" s="1037"/>
      <c r="AH934" s="1037"/>
      <c r="AI934" s="1037"/>
      <c r="AJ934" s="1037"/>
      <c r="AK934" s="1037"/>
      <c r="AL934" s="1037"/>
      <c r="AM934" s="1037"/>
      <c r="AN934" s="1037"/>
      <c r="AO934" s="1037"/>
      <c r="AP934" s="1037"/>
    </row>
    <row r="935" spans="1:42" s="226" customFormat="1">
      <c r="A935" s="2060"/>
      <c r="B935" s="1037"/>
      <c r="C935" s="1037"/>
      <c r="D935" s="1037"/>
      <c r="E935" s="1037"/>
      <c r="F935" s="1037"/>
      <c r="G935" s="1037"/>
      <c r="H935" s="1018"/>
      <c r="I935" s="1037"/>
      <c r="J935" s="1037"/>
      <c r="K935" s="1037"/>
      <c r="L935" s="1037"/>
      <c r="M935" s="1037"/>
      <c r="N935" s="1037"/>
      <c r="O935" s="1037"/>
      <c r="P935" s="1037"/>
      <c r="Q935" s="1037"/>
      <c r="R935" s="1037"/>
      <c r="S935" s="1037"/>
      <c r="T935" s="1037"/>
      <c r="U935" s="1037"/>
      <c r="V935" s="1037"/>
      <c r="W935" s="1037"/>
      <c r="X935" s="1037"/>
      <c r="Y935" s="1037"/>
      <c r="Z935" s="1037"/>
      <c r="AA935" s="1037"/>
      <c r="AB935" s="1037"/>
      <c r="AC935" s="1037"/>
      <c r="AD935" s="1037"/>
      <c r="AE935" s="1037"/>
      <c r="AF935" s="1037"/>
      <c r="AG935" s="1037"/>
      <c r="AH935" s="1037"/>
      <c r="AI935" s="1037"/>
      <c r="AJ935" s="1037"/>
      <c r="AK935" s="1037"/>
      <c r="AL935" s="1037"/>
      <c r="AM935" s="1037"/>
      <c r="AN935" s="1037"/>
      <c r="AO935" s="1037"/>
      <c r="AP935" s="1037"/>
    </row>
    <row r="936" spans="1:42" s="226" customFormat="1">
      <c r="A936" s="2060"/>
      <c r="B936" s="1037"/>
      <c r="C936" s="1037"/>
      <c r="D936" s="1037"/>
      <c r="E936" s="1037"/>
      <c r="F936" s="1037"/>
      <c r="G936" s="1037"/>
      <c r="H936" s="1018"/>
      <c r="I936" s="1037"/>
      <c r="J936" s="1037"/>
      <c r="K936" s="1037"/>
      <c r="L936" s="1037"/>
      <c r="M936" s="1037"/>
      <c r="N936" s="1037"/>
      <c r="O936" s="1037"/>
      <c r="P936" s="1037"/>
      <c r="Q936" s="1037"/>
      <c r="R936" s="1037"/>
      <c r="S936" s="1037"/>
      <c r="T936" s="1037"/>
      <c r="U936" s="1037"/>
      <c r="V936" s="1037"/>
      <c r="W936" s="1037"/>
      <c r="X936" s="1037"/>
      <c r="Y936" s="1037"/>
      <c r="Z936" s="1037"/>
      <c r="AA936" s="1037"/>
      <c r="AB936" s="1037"/>
      <c r="AC936" s="1037"/>
      <c r="AD936" s="1037"/>
      <c r="AE936" s="1037"/>
      <c r="AF936" s="1037"/>
      <c r="AG936" s="1037"/>
      <c r="AH936" s="1037"/>
      <c r="AI936" s="1037"/>
      <c r="AJ936" s="1037"/>
      <c r="AK936" s="1037"/>
      <c r="AL936" s="1037"/>
      <c r="AM936" s="1037"/>
      <c r="AN936" s="1037"/>
      <c r="AO936" s="1037"/>
      <c r="AP936" s="1037"/>
    </row>
    <row r="937" spans="1:42" s="226" customFormat="1">
      <c r="A937" s="2060"/>
      <c r="B937" s="1037"/>
      <c r="C937" s="1037"/>
      <c r="D937" s="1037"/>
      <c r="E937" s="1037"/>
      <c r="F937" s="1037"/>
      <c r="G937" s="1037"/>
      <c r="H937" s="1018"/>
      <c r="I937" s="1037"/>
      <c r="J937" s="1037"/>
      <c r="K937" s="1037"/>
      <c r="L937" s="1037"/>
      <c r="M937" s="1037"/>
      <c r="N937" s="1037"/>
      <c r="O937" s="1037"/>
      <c r="P937" s="1037"/>
      <c r="Q937" s="1037"/>
      <c r="R937" s="1037"/>
      <c r="S937" s="1037"/>
      <c r="T937" s="1037"/>
      <c r="U937" s="1037"/>
      <c r="V937" s="1037"/>
      <c r="W937" s="1037"/>
      <c r="X937" s="1037"/>
      <c r="Y937" s="1037"/>
      <c r="Z937" s="1037"/>
      <c r="AA937" s="1037"/>
      <c r="AB937" s="1037"/>
      <c r="AC937" s="1037"/>
      <c r="AD937" s="1037"/>
      <c r="AE937" s="1037"/>
      <c r="AF937" s="1037"/>
      <c r="AG937" s="1037"/>
      <c r="AH937" s="1037"/>
      <c r="AI937" s="1037"/>
      <c r="AJ937" s="1037"/>
      <c r="AK937" s="1037"/>
      <c r="AL937" s="1037"/>
      <c r="AM937" s="1037"/>
      <c r="AN937" s="1037"/>
      <c r="AO937" s="1037"/>
      <c r="AP937" s="1037"/>
    </row>
    <row r="938" spans="1:42" s="226" customFormat="1">
      <c r="A938" s="2060"/>
      <c r="B938" s="1037"/>
      <c r="C938" s="1037"/>
      <c r="D938" s="1037"/>
      <c r="E938" s="1037"/>
      <c r="F938" s="1037"/>
      <c r="G938" s="1037"/>
      <c r="H938" s="1018"/>
      <c r="I938" s="1037"/>
      <c r="J938" s="1037"/>
      <c r="K938" s="1037"/>
      <c r="L938" s="1037"/>
      <c r="M938" s="1037"/>
      <c r="N938" s="1037"/>
      <c r="O938" s="1037"/>
      <c r="P938" s="1037"/>
      <c r="Q938" s="1037"/>
      <c r="R938" s="1037"/>
      <c r="S938" s="1037"/>
      <c r="T938" s="1037"/>
      <c r="U938" s="1037"/>
      <c r="V938" s="1037"/>
      <c r="W938" s="1037"/>
      <c r="X938" s="1037"/>
      <c r="Y938" s="1037"/>
      <c r="Z938" s="1037"/>
      <c r="AA938" s="1037"/>
      <c r="AB938" s="1037"/>
      <c r="AC938" s="1037"/>
      <c r="AD938" s="1037"/>
      <c r="AE938" s="1037"/>
      <c r="AF938" s="1037"/>
      <c r="AG938" s="1037"/>
      <c r="AH938" s="1037"/>
      <c r="AI938" s="1037"/>
      <c r="AJ938" s="1037"/>
      <c r="AK938" s="1037"/>
      <c r="AL938" s="1037"/>
      <c r="AM938" s="1037"/>
      <c r="AN938" s="1037"/>
      <c r="AO938" s="1037"/>
      <c r="AP938" s="1037"/>
    </row>
    <row r="939" spans="1:42" s="226" customFormat="1">
      <c r="A939" s="2060"/>
      <c r="B939" s="1037"/>
      <c r="C939" s="1037"/>
      <c r="D939" s="1037"/>
      <c r="E939" s="1037"/>
      <c r="F939" s="1037"/>
      <c r="G939" s="1037"/>
      <c r="H939" s="1018"/>
      <c r="I939" s="1037"/>
      <c r="J939" s="1037"/>
      <c r="K939" s="1037"/>
      <c r="L939" s="1037"/>
      <c r="M939" s="1037"/>
      <c r="N939" s="1037"/>
      <c r="O939" s="1037"/>
      <c r="P939" s="1037"/>
      <c r="Q939" s="1037"/>
      <c r="R939" s="1037"/>
      <c r="S939" s="1037"/>
      <c r="T939" s="1037"/>
      <c r="U939" s="1037"/>
      <c r="V939" s="1037"/>
      <c r="W939" s="1037"/>
      <c r="X939" s="1037"/>
      <c r="Y939" s="1037"/>
      <c r="Z939" s="1037"/>
      <c r="AA939" s="1037"/>
      <c r="AB939" s="1037"/>
      <c r="AC939" s="1037"/>
      <c r="AD939" s="1037"/>
      <c r="AE939" s="1037"/>
      <c r="AF939" s="1037"/>
      <c r="AG939" s="1037"/>
      <c r="AH939" s="1037"/>
      <c r="AI939" s="1037"/>
      <c r="AJ939" s="1037"/>
      <c r="AK939" s="1037"/>
      <c r="AL939" s="1037"/>
      <c r="AM939" s="1037"/>
      <c r="AN939" s="1037"/>
      <c r="AO939" s="1037"/>
      <c r="AP939" s="1037"/>
    </row>
    <row r="940" spans="1:42" s="226" customFormat="1">
      <c r="A940" s="2060"/>
      <c r="B940" s="1037"/>
      <c r="C940" s="1037"/>
      <c r="D940" s="1037"/>
      <c r="E940" s="1037"/>
      <c r="F940" s="1037"/>
      <c r="G940" s="1037"/>
      <c r="H940" s="1018"/>
      <c r="I940" s="1037"/>
      <c r="J940" s="1037"/>
      <c r="K940" s="1037"/>
      <c r="L940" s="1037"/>
      <c r="M940" s="1037"/>
      <c r="N940" s="1037"/>
      <c r="O940" s="1037"/>
      <c r="P940" s="1037"/>
      <c r="Q940" s="1037"/>
      <c r="R940" s="1037"/>
      <c r="S940" s="1037"/>
      <c r="T940" s="1037"/>
      <c r="U940" s="1037"/>
      <c r="V940" s="1037"/>
      <c r="W940" s="1037"/>
      <c r="X940" s="1037"/>
      <c r="Y940" s="1037"/>
      <c r="Z940" s="1037"/>
      <c r="AA940" s="1037"/>
      <c r="AB940" s="1037"/>
      <c r="AC940" s="1037"/>
      <c r="AD940" s="1037"/>
      <c r="AE940" s="1037"/>
      <c r="AF940" s="1037"/>
      <c r="AG940" s="1037"/>
      <c r="AH940" s="1037"/>
      <c r="AI940" s="1037"/>
      <c r="AJ940" s="1037"/>
      <c r="AK940" s="1037"/>
      <c r="AL940" s="1037"/>
      <c r="AM940" s="1037"/>
      <c r="AN940" s="1037"/>
      <c r="AO940" s="1037"/>
      <c r="AP940" s="1037"/>
    </row>
    <row r="941" spans="1:42" s="226" customFormat="1">
      <c r="A941" s="2060"/>
      <c r="B941" s="1037"/>
      <c r="C941" s="1037"/>
      <c r="D941" s="1037"/>
      <c r="E941" s="1037"/>
      <c r="F941" s="1037"/>
      <c r="G941" s="1037"/>
      <c r="H941" s="1018"/>
      <c r="I941" s="1037"/>
      <c r="J941" s="1037"/>
      <c r="K941" s="1037"/>
      <c r="L941" s="1037"/>
      <c r="M941" s="1037"/>
      <c r="N941" s="1037"/>
      <c r="O941" s="1037"/>
      <c r="P941" s="1037"/>
      <c r="Q941" s="1037"/>
      <c r="R941" s="1037"/>
      <c r="S941" s="1037"/>
      <c r="T941" s="1037"/>
      <c r="U941" s="1037"/>
      <c r="V941" s="1037"/>
      <c r="W941" s="1037"/>
      <c r="X941" s="1037"/>
      <c r="Y941" s="1037"/>
      <c r="Z941" s="1037"/>
      <c r="AA941" s="1037"/>
      <c r="AB941" s="1037"/>
      <c r="AC941" s="1037"/>
      <c r="AD941" s="1037"/>
      <c r="AE941" s="1037"/>
      <c r="AF941" s="1037"/>
      <c r="AG941" s="1037"/>
      <c r="AH941" s="1037"/>
      <c r="AI941" s="1037"/>
      <c r="AJ941" s="1037"/>
      <c r="AK941" s="1037"/>
      <c r="AL941" s="1037"/>
      <c r="AM941" s="1037"/>
      <c r="AN941" s="1037"/>
      <c r="AO941" s="1037"/>
      <c r="AP941" s="1037"/>
    </row>
    <row r="942" spans="1:42" s="226" customFormat="1">
      <c r="A942" s="2060"/>
      <c r="B942" s="1037"/>
      <c r="C942" s="1037"/>
      <c r="D942" s="1037"/>
      <c r="E942" s="1037"/>
      <c r="F942" s="1037"/>
      <c r="G942" s="1037"/>
      <c r="H942" s="1018"/>
      <c r="I942" s="1037"/>
      <c r="J942" s="1037"/>
      <c r="K942" s="1037"/>
      <c r="L942" s="1037"/>
      <c r="M942" s="1037"/>
      <c r="N942" s="1037"/>
      <c r="O942" s="1037"/>
      <c r="P942" s="1037"/>
      <c r="Q942" s="1037"/>
      <c r="R942" s="1037"/>
      <c r="S942" s="1037"/>
      <c r="T942" s="1037"/>
      <c r="U942" s="1037"/>
      <c r="V942" s="1037"/>
      <c r="W942" s="1037"/>
      <c r="X942" s="1037"/>
      <c r="Y942" s="1037"/>
      <c r="Z942" s="1037"/>
      <c r="AA942" s="1037"/>
      <c r="AB942" s="1037"/>
      <c r="AC942" s="1037"/>
      <c r="AD942" s="1037"/>
      <c r="AE942" s="1037"/>
      <c r="AF942" s="1037"/>
      <c r="AG942" s="1037"/>
      <c r="AH942" s="1037"/>
      <c r="AI942" s="1037"/>
      <c r="AJ942" s="1037"/>
      <c r="AK942" s="1037"/>
      <c r="AL942" s="1037"/>
      <c r="AM942" s="1037"/>
      <c r="AN942" s="1037"/>
      <c r="AO942" s="1037"/>
      <c r="AP942" s="1037"/>
    </row>
    <row r="943" spans="1:42" s="226" customFormat="1">
      <c r="A943" s="2060"/>
      <c r="B943" s="1037"/>
      <c r="C943" s="1037"/>
      <c r="D943" s="1037"/>
      <c r="E943" s="1037"/>
      <c r="F943" s="1037"/>
      <c r="G943" s="1037"/>
      <c r="H943" s="1018"/>
      <c r="I943" s="1037"/>
      <c r="J943" s="1037"/>
      <c r="K943" s="1037"/>
      <c r="L943" s="1037"/>
      <c r="M943" s="1037"/>
      <c r="N943" s="1037"/>
      <c r="O943" s="1037"/>
      <c r="P943" s="1037"/>
      <c r="Q943" s="1037"/>
      <c r="R943" s="1037"/>
      <c r="S943" s="1037"/>
      <c r="T943" s="1037"/>
      <c r="U943" s="1037"/>
      <c r="V943" s="1037"/>
      <c r="W943" s="1037"/>
      <c r="X943" s="1037"/>
      <c r="Y943" s="1037"/>
      <c r="Z943" s="1037"/>
      <c r="AA943" s="1037"/>
      <c r="AB943" s="1037"/>
      <c r="AC943" s="1037"/>
      <c r="AD943" s="1037"/>
      <c r="AE943" s="1037"/>
      <c r="AF943" s="1037"/>
      <c r="AG943" s="1037"/>
      <c r="AH943" s="1037"/>
      <c r="AI943" s="1037"/>
      <c r="AJ943" s="1037"/>
      <c r="AK943" s="1037"/>
      <c r="AL943" s="1037"/>
      <c r="AM943" s="1037"/>
      <c r="AN943" s="1037"/>
      <c r="AO943" s="1037"/>
      <c r="AP943" s="1037"/>
    </row>
    <row r="944" spans="1:42" s="226" customFormat="1">
      <c r="A944" s="2060"/>
      <c r="B944" s="1037"/>
      <c r="C944" s="1037"/>
      <c r="D944" s="1037"/>
      <c r="E944" s="1037"/>
      <c r="F944" s="1037"/>
      <c r="G944" s="1037"/>
      <c r="H944" s="1018"/>
      <c r="I944" s="1037"/>
      <c r="J944" s="1037"/>
      <c r="K944" s="1037"/>
      <c r="L944" s="1037"/>
      <c r="M944" s="1037"/>
      <c r="N944" s="1037"/>
      <c r="O944" s="1037"/>
      <c r="P944" s="1037"/>
      <c r="Q944" s="1037"/>
      <c r="R944" s="1037"/>
      <c r="S944" s="1037"/>
      <c r="T944" s="1037"/>
      <c r="U944" s="1037"/>
      <c r="V944" s="1037"/>
      <c r="W944" s="1037"/>
      <c r="X944" s="1037"/>
      <c r="Y944" s="1037"/>
      <c r="Z944" s="1037"/>
      <c r="AA944" s="1037"/>
      <c r="AB944" s="1037"/>
      <c r="AC944" s="1037"/>
      <c r="AD944" s="1037"/>
      <c r="AE944" s="1037"/>
      <c r="AF944" s="1037"/>
      <c r="AG944" s="1037"/>
      <c r="AH944" s="1037"/>
      <c r="AI944" s="1037"/>
      <c r="AJ944" s="1037"/>
      <c r="AK944" s="1037"/>
      <c r="AL944" s="1037"/>
      <c r="AM944" s="1037"/>
      <c r="AN944" s="1037"/>
      <c r="AO944" s="1037"/>
      <c r="AP944" s="1037"/>
    </row>
    <row r="945" spans="1:42" s="226" customFormat="1">
      <c r="A945" s="2060"/>
      <c r="B945" s="1037"/>
      <c r="C945" s="1037"/>
      <c r="D945" s="1037"/>
      <c r="E945" s="1037"/>
      <c r="F945" s="1037"/>
      <c r="G945" s="1037"/>
      <c r="H945" s="1018"/>
      <c r="I945" s="1037"/>
      <c r="J945" s="1037"/>
      <c r="K945" s="1037"/>
      <c r="L945" s="1037"/>
      <c r="M945" s="1037"/>
      <c r="N945" s="1037"/>
      <c r="O945" s="1037"/>
      <c r="P945" s="1037"/>
      <c r="Q945" s="1037"/>
      <c r="R945" s="1037"/>
      <c r="S945" s="1037"/>
      <c r="T945" s="1037"/>
      <c r="U945" s="1037"/>
      <c r="V945" s="1037"/>
      <c r="W945" s="1037"/>
      <c r="X945" s="1037"/>
      <c r="Y945" s="1037"/>
      <c r="Z945" s="1037"/>
      <c r="AA945" s="1037"/>
      <c r="AB945" s="1037"/>
      <c r="AC945" s="1037"/>
      <c r="AD945" s="1037"/>
      <c r="AE945" s="1037"/>
      <c r="AF945" s="1037"/>
      <c r="AG945" s="1037"/>
      <c r="AH945" s="1037"/>
      <c r="AI945" s="1037"/>
      <c r="AJ945" s="1037"/>
      <c r="AK945" s="1037"/>
      <c r="AL945" s="1037"/>
      <c r="AM945" s="1037"/>
      <c r="AN945" s="1037"/>
      <c r="AO945" s="1037"/>
      <c r="AP945" s="1037"/>
    </row>
    <row r="946" spans="1:42" s="226" customFormat="1">
      <c r="A946" s="2060"/>
      <c r="B946" s="1037"/>
      <c r="C946" s="1037"/>
      <c r="D946" s="1037"/>
      <c r="E946" s="1037"/>
      <c r="F946" s="1037"/>
      <c r="G946" s="1037"/>
      <c r="H946" s="1018"/>
      <c r="I946" s="1037"/>
      <c r="J946" s="1037"/>
      <c r="K946" s="1037"/>
      <c r="L946" s="1037"/>
      <c r="M946" s="1037"/>
      <c r="N946" s="1037"/>
      <c r="O946" s="1037"/>
      <c r="P946" s="1037"/>
      <c r="Q946" s="1037"/>
      <c r="R946" s="1037"/>
      <c r="S946" s="1037"/>
      <c r="T946" s="1037"/>
      <c r="U946" s="1037"/>
      <c r="V946" s="1037"/>
      <c r="W946" s="1037"/>
      <c r="X946" s="1037"/>
      <c r="Y946" s="1037"/>
      <c r="Z946" s="1037"/>
      <c r="AA946" s="1037"/>
      <c r="AB946" s="1037"/>
      <c r="AC946" s="1037"/>
      <c r="AD946" s="1037"/>
      <c r="AE946" s="1037"/>
      <c r="AF946" s="1037"/>
      <c r="AG946" s="1037"/>
      <c r="AH946" s="1037"/>
      <c r="AI946" s="1037"/>
      <c r="AJ946" s="1037"/>
      <c r="AK946" s="1037"/>
      <c r="AL946" s="1037"/>
      <c r="AM946" s="1037"/>
      <c r="AN946" s="1037"/>
      <c r="AO946" s="1037"/>
      <c r="AP946" s="1037"/>
    </row>
    <row r="947" spans="1:42" s="226" customFormat="1">
      <c r="A947" s="2060"/>
      <c r="B947" s="1037"/>
      <c r="C947" s="1037"/>
      <c r="D947" s="1037"/>
      <c r="E947" s="1037"/>
      <c r="F947" s="1037"/>
      <c r="G947" s="1037"/>
      <c r="H947" s="1018"/>
      <c r="I947" s="1037"/>
      <c r="J947" s="1037"/>
      <c r="K947" s="1037"/>
      <c r="L947" s="1037"/>
      <c r="M947" s="1037"/>
      <c r="N947" s="1037"/>
      <c r="O947" s="1037"/>
      <c r="P947" s="1037"/>
      <c r="Q947" s="1037"/>
      <c r="R947" s="1037"/>
      <c r="S947" s="1037"/>
      <c r="T947" s="1037"/>
      <c r="U947" s="1037"/>
      <c r="V947" s="1037"/>
      <c r="W947" s="1037"/>
      <c r="X947" s="1037"/>
      <c r="Y947" s="1037"/>
      <c r="Z947" s="1037"/>
      <c r="AA947" s="1037"/>
      <c r="AB947" s="1037"/>
      <c r="AC947" s="1037"/>
      <c r="AD947" s="1037"/>
      <c r="AE947" s="1037"/>
      <c r="AF947" s="1037"/>
      <c r="AG947" s="1037"/>
      <c r="AH947" s="1037"/>
      <c r="AI947" s="1037"/>
      <c r="AJ947" s="1037"/>
      <c r="AK947" s="1037"/>
      <c r="AL947" s="1037"/>
      <c r="AM947" s="1037"/>
      <c r="AN947" s="1037"/>
      <c r="AO947" s="1037"/>
      <c r="AP947" s="1037"/>
    </row>
    <row r="948" spans="1:42" s="226" customFormat="1">
      <c r="A948" s="2060"/>
      <c r="B948" s="1037"/>
      <c r="C948" s="1037"/>
      <c r="D948" s="1037"/>
      <c r="E948" s="1037"/>
      <c r="F948" s="1037"/>
      <c r="G948" s="1037"/>
      <c r="H948" s="1018"/>
      <c r="I948" s="1037"/>
      <c r="J948" s="1037"/>
      <c r="K948" s="1037"/>
      <c r="L948" s="1037"/>
      <c r="M948" s="1037"/>
      <c r="N948" s="1037"/>
      <c r="O948" s="1037"/>
      <c r="P948" s="1037"/>
      <c r="Q948" s="1037"/>
      <c r="R948" s="1037"/>
      <c r="S948" s="1037"/>
      <c r="T948" s="1037"/>
      <c r="U948" s="1037"/>
      <c r="V948" s="1037"/>
      <c r="W948" s="1037"/>
      <c r="X948" s="1037"/>
      <c r="Y948" s="1037"/>
      <c r="Z948" s="1037"/>
      <c r="AA948" s="1037"/>
      <c r="AB948" s="1037"/>
      <c r="AC948" s="1037"/>
      <c r="AD948" s="1037"/>
      <c r="AE948" s="1037"/>
      <c r="AF948" s="1037"/>
      <c r="AG948" s="1037"/>
      <c r="AH948" s="1037"/>
      <c r="AI948" s="1037"/>
      <c r="AJ948" s="1037"/>
      <c r="AK948" s="1037"/>
      <c r="AL948" s="1037"/>
      <c r="AM948" s="1037"/>
      <c r="AN948" s="1037"/>
      <c r="AO948" s="1037"/>
      <c r="AP948" s="1037"/>
    </row>
    <row r="949" spans="1:42" s="226" customFormat="1">
      <c r="A949" s="2060"/>
      <c r="B949" s="1037"/>
      <c r="C949" s="1037"/>
      <c r="D949" s="1037"/>
      <c r="E949" s="1037"/>
      <c r="F949" s="1037"/>
      <c r="G949" s="1037"/>
      <c r="H949" s="1018"/>
      <c r="I949" s="1037"/>
      <c r="J949" s="1037"/>
      <c r="K949" s="1037"/>
      <c r="L949" s="1037"/>
      <c r="M949" s="1037"/>
      <c r="N949" s="1037"/>
      <c r="O949" s="1037"/>
      <c r="P949" s="1037"/>
      <c r="Q949" s="1037"/>
      <c r="R949" s="1037"/>
      <c r="S949" s="1037"/>
      <c r="T949" s="1037"/>
      <c r="U949" s="1037"/>
      <c r="V949" s="1037"/>
      <c r="W949" s="1037"/>
      <c r="X949" s="1037"/>
      <c r="Y949" s="1037"/>
      <c r="Z949" s="1037"/>
      <c r="AA949" s="1037"/>
      <c r="AB949" s="1037"/>
      <c r="AC949" s="1037"/>
      <c r="AD949" s="1037"/>
      <c r="AE949" s="1037"/>
      <c r="AF949" s="1037"/>
      <c r="AG949" s="1037"/>
      <c r="AH949" s="1037"/>
      <c r="AI949" s="1037"/>
      <c r="AJ949" s="1037"/>
      <c r="AK949" s="1037"/>
      <c r="AL949" s="1037"/>
      <c r="AM949" s="1037"/>
      <c r="AN949" s="1037"/>
      <c r="AO949" s="1037"/>
      <c r="AP949" s="1037"/>
    </row>
    <row r="950" spans="1:42" s="226" customFormat="1">
      <c r="A950" s="2060"/>
      <c r="B950" s="1037"/>
      <c r="C950" s="1037"/>
      <c r="D950" s="1037"/>
      <c r="E950" s="1037"/>
      <c r="F950" s="1037"/>
      <c r="G950" s="1037"/>
      <c r="H950" s="1018"/>
      <c r="I950" s="1037"/>
      <c r="J950" s="1037"/>
      <c r="K950" s="1037"/>
      <c r="L950" s="1037"/>
      <c r="M950" s="1037"/>
      <c r="N950" s="1037"/>
      <c r="O950" s="1037"/>
      <c r="P950" s="1037"/>
      <c r="Q950" s="1037"/>
      <c r="R950" s="1037"/>
      <c r="S950" s="1037"/>
      <c r="T950" s="1037"/>
      <c r="U950" s="1037"/>
      <c r="V950" s="1037"/>
      <c r="W950" s="1037"/>
      <c r="X950" s="1037"/>
      <c r="Y950" s="1037"/>
      <c r="Z950" s="1037"/>
      <c r="AA950" s="1037"/>
      <c r="AB950" s="1037"/>
      <c r="AC950" s="1037"/>
      <c r="AD950" s="1037"/>
      <c r="AE950" s="1037"/>
      <c r="AF950" s="1037"/>
      <c r="AG950" s="1037"/>
      <c r="AH950" s="1037"/>
      <c r="AI950" s="1037"/>
      <c r="AJ950" s="1037"/>
      <c r="AK950" s="1037"/>
      <c r="AL950" s="1037"/>
      <c r="AM950" s="1037"/>
      <c r="AN950" s="1037"/>
      <c r="AO950" s="1037"/>
      <c r="AP950" s="1037"/>
    </row>
    <row r="951" spans="1:42" s="226" customFormat="1">
      <c r="A951" s="2060"/>
      <c r="B951" s="1037"/>
      <c r="C951" s="1037"/>
      <c r="D951" s="1037"/>
      <c r="E951" s="1037"/>
      <c r="F951" s="1037"/>
      <c r="G951" s="1037"/>
      <c r="H951" s="1018"/>
      <c r="I951" s="1037"/>
      <c r="J951" s="1037"/>
      <c r="K951" s="1037"/>
      <c r="L951" s="1037"/>
      <c r="M951" s="1037"/>
      <c r="N951" s="1037"/>
      <c r="O951" s="1037"/>
      <c r="P951" s="1037"/>
      <c r="Q951" s="1037"/>
      <c r="R951" s="1037"/>
      <c r="S951" s="1037"/>
      <c r="T951" s="1037"/>
      <c r="U951" s="1037"/>
      <c r="V951" s="1037"/>
      <c r="W951" s="1037"/>
      <c r="X951" s="1037"/>
      <c r="Y951" s="1037"/>
      <c r="Z951" s="1037"/>
      <c r="AA951" s="1037"/>
      <c r="AB951" s="1037"/>
      <c r="AC951" s="1037"/>
      <c r="AD951" s="1037"/>
      <c r="AE951" s="1037"/>
      <c r="AF951" s="1037"/>
      <c r="AG951" s="1037"/>
      <c r="AH951" s="1037"/>
      <c r="AI951" s="1037"/>
      <c r="AJ951" s="1037"/>
      <c r="AK951" s="1037"/>
      <c r="AL951" s="1037"/>
      <c r="AM951" s="1037"/>
      <c r="AN951" s="1037"/>
      <c r="AO951" s="1037"/>
      <c r="AP951" s="1037"/>
    </row>
    <row r="952" spans="1:42" s="226" customFormat="1">
      <c r="A952" s="2060"/>
      <c r="B952" s="1037"/>
      <c r="C952" s="1037"/>
      <c r="D952" s="1037"/>
      <c r="E952" s="1037"/>
      <c r="F952" s="1037"/>
      <c r="G952" s="1037"/>
      <c r="H952" s="1018"/>
      <c r="I952" s="1037"/>
      <c r="J952" s="1037"/>
      <c r="K952" s="1037"/>
      <c r="L952" s="1037"/>
      <c r="M952" s="1037"/>
      <c r="N952" s="1037"/>
      <c r="O952" s="1037"/>
      <c r="P952" s="1037"/>
      <c r="Q952" s="1037"/>
      <c r="R952" s="1037"/>
      <c r="S952" s="1037"/>
      <c r="T952" s="1037"/>
      <c r="U952" s="1037"/>
      <c r="V952" s="1037"/>
      <c r="W952" s="1037"/>
      <c r="X952" s="1037"/>
      <c r="Y952" s="1037"/>
      <c r="Z952" s="1037"/>
      <c r="AA952" s="1037"/>
      <c r="AB952" s="1037"/>
      <c r="AC952" s="1037"/>
      <c r="AD952" s="1037"/>
      <c r="AE952" s="1037"/>
      <c r="AF952" s="1037"/>
      <c r="AG952" s="1037"/>
      <c r="AH952" s="1037"/>
      <c r="AI952" s="1037"/>
      <c r="AJ952" s="1037"/>
      <c r="AK952" s="1037"/>
      <c r="AL952" s="1037"/>
      <c r="AM952" s="1037"/>
      <c r="AN952" s="1037"/>
      <c r="AO952" s="1037"/>
      <c r="AP952" s="1037"/>
    </row>
    <row r="953" spans="1:42" s="226" customFormat="1">
      <c r="A953" s="2060"/>
      <c r="B953" s="1037"/>
      <c r="C953" s="1037"/>
      <c r="D953" s="1037"/>
      <c r="E953" s="1037"/>
      <c r="F953" s="1037"/>
      <c r="G953" s="1037"/>
      <c r="H953" s="1018"/>
      <c r="I953" s="1037"/>
      <c r="J953" s="1037"/>
      <c r="K953" s="1037"/>
      <c r="L953" s="1037"/>
      <c r="M953" s="1037"/>
      <c r="N953" s="1037"/>
      <c r="O953" s="1037"/>
      <c r="P953" s="1037"/>
      <c r="Q953" s="1037"/>
      <c r="R953" s="1037"/>
      <c r="S953" s="1037"/>
      <c r="T953" s="1037"/>
      <c r="U953" s="1037"/>
      <c r="V953" s="1037"/>
      <c r="W953" s="1037"/>
      <c r="X953" s="1037"/>
      <c r="Y953" s="1037"/>
      <c r="Z953" s="1037"/>
      <c r="AA953" s="1037"/>
      <c r="AB953" s="1037"/>
      <c r="AC953" s="1037"/>
      <c r="AD953" s="1037"/>
      <c r="AE953" s="1037"/>
      <c r="AF953" s="1037"/>
      <c r="AG953" s="1037"/>
      <c r="AH953" s="1037"/>
      <c r="AI953" s="1037"/>
      <c r="AJ953" s="1037"/>
      <c r="AK953" s="1037"/>
      <c r="AL953" s="1037"/>
      <c r="AM953" s="1037"/>
      <c r="AN953" s="1037"/>
      <c r="AO953" s="1037"/>
      <c r="AP953" s="1037"/>
    </row>
    <row r="954" spans="1:42" s="226" customFormat="1">
      <c r="A954" s="2060"/>
      <c r="B954" s="1037"/>
      <c r="C954" s="1037"/>
      <c r="D954" s="1037"/>
      <c r="E954" s="1037"/>
      <c r="F954" s="1037"/>
      <c r="G954" s="1037"/>
      <c r="H954" s="1018"/>
      <c r="I954" s="1037"/>
      <c r="J954" s="1037"/>
      <c r="K954" s="1037"/>
      <c r="L954" s="1037"/>
      <c r="M954" s="1037"/>
      <c r="N954" s="1037"/>
      <c r="O954" s="1037"/>
      <c r="P954" s="1037"/>
      <c r="Q954" s="1037"/>
      <c r="R954" s="1037"/>
      <c r="S954" s="1037"/>
      <c r="T954" s="1037"/>
      <c r="U954" s="1037"/>
      <c r="V954" s="1037"/>
      <c r="W954" s="1037"/>
      <c r="X954" s="1037"/>
      <c r="Y954" s="1037"/>
      <c r="Z954" s="1037"/>
      <c r="AA954" s="1037"/>
      <c r="AB954" s="1037"/>
      <c r="AC954" s="1037"/>
      <c r="AD954" s="1037"/>
      <c r="AE954" s="1037"/>
      <c r="AF954" s="1037"/>
      <c r="AG954" s="1037"/>
      <c r="AH954" s="1037"/>
      <c r="AI954" s="1037"/>
      <c r="AJ954" s="1037"/>
      <c r="AK954" s="1037"/>
      <c r="AL954" s="1037"/>
      <c r="AM954" s="1037"/>
      <c r="AN954" s="1037"/>
      <c r="AO954" s="1037"/>
      <c r="AP954" s="1037"/>
    </row>
    <row r="955" spans="1:42" s="226" customFormat="1">
      <c r="A955" s="2060"/>
      <c r="B955" s="1037"/>
      <c r="C955" s="1037"/>
      <c r="D955" s="1037"/>
      <c r="E955" s="1037"/>
      <c r="F955" s="1037"/>
      <c r="G955" s="1037"/>
      <c r="H955" s="1018"/>
      <c r="I955" s="1037"/>
      <c r="J955" s="1037"/>
      <c r="K955" s="1037"/>
      <c r="L955" s="1037"/>
      <c r="M955" s="1037"/>
      <c r="N955" s="1037"/>
      <c r="O955" s="1037"/>
      <c r="P955" s="1037"/>
      <c r="Q955" s="1037"/>
      <c r="R955" s="1037"/>
      <c r="S955" s="1037"/>
      <c r="T955" s="1037"/>
      <c r="U955" s="1037"/>
      <c r="V955" s="1037"/>
      <c r="W955" s="1037"/>
      <c r="X955" s="1037"/>
      <c r="Y955" s="1037"/>
      <c r="Z955" s="1037"/>
      <c r="AA955" s="1037"/>
      <c r="AB955" s="1037"/>
      <c r="AC955" s="1037"/>
      <c r="AD955" s="1037"/>
      <c r="AE955" s="1037"/>
      <c r="AF955" s="1037"/>
      <c r="AG955" s="1037"/>
      <c r="AH955" s="1037"/>
      <c r="AI955" s="1037"/>
      <c r="AJ955" s="1037"/>
      <c r="AK955" s="1037"/>
      <c r="AL955" s="1037"/>
      <c r="AM955" s="1037"/>
      <c r="AN955" s="1037"/>
      <c r="AO955" s="1037"/>
      <c r="AP955" s="1037"/>
    </row>
    <row r="956" spans="1:42" s="226" customFormat="1">
      <c r="A956" s="2060"/>
      <c r="B956" s="1037"/>
      <c r="C956" s="1037"/>
      <c r="D956" s="1037"/>
      <c r="E956" s="1037"/>
      <c r="F956" s="1037"/>
      <c r="G956" s="1037"/>
      <c r="H956" s="1018"/>
      <c r="I956" s="1037"/>
      <c r="J956" s="1037"/>
      <c r="K956" s="1037"/>
      <c r="L956" s="1037"/>
      <c r="M956" s="1037"/>
      <c r="N956" s="1037"/>
      <c r="O956" s="1037"/>
      <c r="P956" s="1037"/>
      <c r="Q956" s="1037"/>
      <c r="R956" s="1037"/>
      <c r="S956" s="1037"/>
      <c r="T956" s="1037"/>
      <c r="U956" s="1037"/>
      <c r="V956" s="1037"/>
      <c r="W956" s="1037"/>
      <c r="X956" s="1037"/>
      <c r="Y956" s="1037"/>
      <c r="Z956" s="1037"/>
      <c r="AA956" s="1037"/>
      <c r="AB956" s="1037"/>
      <c r="AC956" s="1037"/>
      <c r="AD956" s="1037"/>
      <c r="AE956" s="1037"/>
      <c r="AF956" s="1037"/>
      <c r="AG956" s="1037"/>
      <c r="AH956" s="1037"/>
      <c r="AI956" s="1037"/>
      <c r="AJ956" s="1037"/>
      <c r="AK956" s="1037"/>
      <c r="AL956" s="1037"/>
      <c r="AM956" s="1037"/>
      <c r="AN956" s="1037"/>
      <c r="AO956" s="1037"/>
      <c r="AP956" s="1037"/>
    </row>
    <row r="957" spans="1:42" s="226" customFormat="1">
      <c r="A957" s="2060"/>
      <c r="B957" s="1037"/>
      <c r="C957" s="1037"/>
      <c r="D957" s="1037"/>
      <c r="E957" s="1037"/>
      <c r="F957" s="1037"/>
      <c r="G957" s="1037"/>
      <c r="H957" s="1018"/>
      <c r="I957" s="1037"/>
      <c r="J957" s="1037"/>
      <c r="K957" s="1037"/>
      <c r="L957" s="1037"/>
      <c r="M957" s="1037"/>
      <c r="N957" s="1037"/>
      <c r="O957" s="1037"/>
      <c r="P957" s="1037"/>
      <c r="Q957" s="1037"/>
      <c r="R957" s="1037"/>
      <c r="S957" s="1037"/>
      <c r="T957" s="1037"/>
      <c r="U957" s="1037"/>
      <c r="V957" s="1037"/>
      <c r="W957" s="1037"/>
      <c r="X957" s="1037"/>
      <c r="Y957" s="1037"/>
      <c r="Z957" s="1037"/>
      <c r="AA957" s="1037"/>
      <c r="AB957" s="1037"/>
      <c r="AC957" s="1037"/>
      <c r="AD957" s="1037"/>
      <c r="AE957" s="1037"/>
      <c r="AF957" s="1037"/>
      <c r="AG957" s="1037"/>
      <c r="AH957" s="1037"/>
      <c r="AI957" s="1037"/>
      <c r="AJ957" s="1037"/>
      <c r="AK957" s="1037"/>
      <c r="AL957" s="1037"/>
      <c r="AM957" s="1037"/>
      <c r="AN957" s="1037"/>
      <c r="AO957" s="1037"/>
      <c r="AP957" s="1037"/>
    </row>
    <row r="958" spans="1:42" s="226" customFormat="1">
      <c r="A958" s="2060"/>
      <c r="B958" s="1037"/>
      <c r="C958" s="1037"/>
      <c r="D958" s="1037"/>
      <c r="E958" s="1037"/>
      <c r="F958" s="1037"/>
      <c r="G958" s="1037"/>
      <c r="H958" s="1018"/>
      <c r="I958" s="1037"/>
      <c r="J958" s="1037"/>
      <c r="K958" s="1037"/>
      <c r="L958" s="1037"/>
      <c r="M958" s="1037"/>
      <c r="N958" s="1037"/>
      <c r="O958" s="1037"/>
      <c r="P958" s="1037"/>
      <c r="Q958" s="1037"/>
      <c r="R958" s="1037"/>
      <c r="S958" s="1037"/>
      <c r="T958" s="1037"/>
      <c r="U958" s="1037"/>
      <c r="V958" s="1037"/>
      <c r="W958" s="1037"/>
      <c r="X958" s="1037"/>
      <c r="Y958" s="1037"/>
      <c r="Z958" s="1037"/>
      <c r="AA958" s="1037"/>
      <c r="AB958" s="1037"/>
      <c r="AC958" s="1037"/>
      <c r="AD958" s="1037"/>
      <c r="AE958" s="1037"/>
      <c r="AF958" s="1037"/>
      <c r="AG958" s="1037"/>
      <c r="AH958" s="1037"/>
      <c r="AI958" s="1037"/>
      <c r="AJ958" s="1037"/>
      <c r="AK958" s="1037"/>
      <c r="AL958" s="1037"/>
      <c r="AM958" s="1037"/>
      <c r="AN958" s="1037"/>
      <c r="AO958" s="1037"/>
      <c r="AP958" s="1037"/>
    </row>
    <row r="959" spans="1:42" s="226" customFormat="1">
      <c r="A959" s="2060"/>
      <c r="B959" s="1037"/>
      <c r="C959" s="1037"/>
      <c r="D959" s="1037"/>
      <c r="E959" s="1037"/>
      <c r="F959" s="1037"/>
      <c r="G959" s="1037"/>
      <c r="H959" s="1018"/>
      <c r="I959" s="1037"/>
      <c r="J959" s="1037"/>
      <c r="K959" s="1037"/>
      <c r="L959" s="1037"/>
      <c r="M959" s="1037"/>
      <c r="N959" s="1037"/>
      <c r="O959" s="1037"/>
      <c r="P959" s="1037"/>
      <c r="Q959" s="1037"/>
      <c r="R959" s="1037"/>
      <c r="S959" s="1037"/>
      <c r="T959" s="1037"/>
      <c r="U959" s="1037"/>
      <c r="V959" s="1037"/>
      <c r="W959" s="1037"/>
      <c r="X959" s="1037"/>
      <c r="Y959" s="1037"/>
      <c r="Z959" s="1037"/>
      <c r="AA959" s="1037"/>
      <c r="AB959" s="1037"/>
      <c r="AC959" s="1037"/>
      <c r="AD959" s="1037"/>
      <c r="AE959" s="1037"/>
      <c r="AF959" s="1037"/>
      <c r="AG959" s="1037"/>
      <c r="AH959" s="1037"/>
      <c r="AI959" s="1037"/>
      <c r="AJ959" s="1037"/>
      <c r="AK959" s="1037"/>
      <c r="AL959" s="1037"/>
      <c r="AM959" s="1037"/>
      <c r="AN959" s="1037"/>
      <c r="AO959" s="1037"/>
      <c r="AP959" s="1037"/>
    </row>
    <row r="960" spans="1:42" s="226" customFormat="1">
      <c r="A960" s="2060"/>
      <c r="B960" s="1037"/>
      <c r="C960" s="1037"/>
      <c r="D960" s="1037"/>
      <c r="E960" s="1037"/>
      <c r="F960" s="1037"/>
      <c r="G960" s="1037"/>
      <c r="H960" s="1018"/>
      <c r="I960" s="1037"/>
      <c r="J960" s="1037"/>
      <c r="K960" s="1037"/>
      <c r="L960" s="1037"/>
      <c r="M960" s="1037"/>
      <c r="N960" s="1037"/>
      <c r="O960" s="1037"/>
      <c r="P960" s="1037"/>
      <c r="Q960" s="1037"/>
      <c r="R960" s="1037"/>
      <c r="S960" s="1037"/>
      <c r="T960" s="1037"/>
      <c r="U960" s="1037"/>
      <c r="V960" s="1037"/>
      <c r="W960" s="1037"/>
      <c r="X960" s="1037"/>
      <c r="Y960" s="1037"/>
      <c r="Z960" s="1037"/>
      <c r="AA960" s="1037"/>
      <c r="AB960" s="1037"/>
      <c r="AC960" s="1037"/>
      <c r="AD960" s="1037"/>
      <c r="AE960" s="1037"/>
      <c r="AF960" s="1037"/>
      <c r="AG960" s="1037"/>
      <c r="AH960" s="1037"/>
      <c r="AI960" s="1037"/>
      <c r="AJ960" s="1037"/>
      <c r="AK960" s="1037"/>
      <c r="AL960" s="1037"/>
      <c r="AM960" s="1037"/>
      <c r="AN960" s="1037"/>
      <c r="AO960" s="1037"/>
      <c r="AP960" s="1037"/>
    </row>
    <row r="961" spans="1:42" s="226" customFormat="1">
      <c r="A961" s="2060"/>
      <c r="B961" s="1037"/>
      <c r="C961" s="1037"/>
      <c r="D961" s="1037"/>
      <c r="E961" s="1037"/>
      <c r="F961" s="1037"/>
      <c r="G961" s="1037"/>
      <c r="H961" s="1018"/>
      <c r="I961" s="1037"/>
      <c r="J961" s="1037"/>
      <c r="K961" s="1037"/>
      <c r="L961" s="1037"/>
      <c r="M961" s="1037"/>
      <c r="N961" s="1037"/>
      <c r="O961" s="1037"/>
      <c r="P961" s="1037"/>
      <c r="Q961" s="1037"/>
      <c r="R961" s="1037"/>
      <c r="S961" s="1037"/>
      <c r="T961" s="1037"/>
      <c r="U961" s="1037"/>
      <c r="V961" s="1037"/>
      <c r="W961" s="1037"/>
      <c r="X961" s="1037"/>
      <c r="Y961" s="1037"/>
      <c r="Z961" s="1037"/>
      <c r="AA961" s="1037"/>
      <c r="AB961" s="1037"/>
      <c r="AC961" s="1037"/>
      <c r="AD961" s="1037"/>
      <c r="AE961" s="1037"/>
      <c r="AF961" s="1037"/>
      <c r="AG961" s="1037"/>
      <c r="AH961" s="1037"/>
      <c r="AI961" s="1037"/>
      <c r="AJ961" s="1037"/>
      <c r="AK961" s="1037"/>
      <c r="AL961" s="1037"/>
      <c r="AM961" s="1037"/>
      <c r="AN961" s="1037"/>
      <c r="AO961" s="1037"/>
      <c r="AP961" s="1037"/>
    </row>
    <row r="962" spans="1:42" s="226" customFormat="1">
      <c r="A962" s="2060"/>
      <c r="B962" s="1037"/>
      <c r="C962" s="1037"/>
      <c r="D962" s="1037"/>
      <c r="E962" s="1037"/>
      <c r="F962" s="1037"/>
      <c r="G962" s="1037"/>
      <c r="H962" s="1018"/>
      <c r="I962" s="1037"/>
      <c r="J962" s="1037"/>
      <c r="K962" s="1037"/>
      <c r="L962" s="1037"/>
      <c r="M962" s="1037"/>
      <c r="N962" s="1037"/>
      <c r="O962" s="1037"/>
      <c r="P962" s="1037"/>
      <c r="Q962" s="1037"/>
      <c r="R962" s="1037"/>
      <c r="S962" s="1037"/>
      <c r="T962" s="1037"/>
      <c r="U962" s="1037"/>
      <c r="V962" s="1037"/>
      <c r="W962" s="1037"/>
      <c r="X962" s="1037"/>
      <c r="Y962" s="1037"/>
      <c r="Z962" s="1037"/>
      <c r="AA962" s="1037"/>
      <c r="AB962" s="1037"/>
      <c r="AC962" s="1037"/>
      <c r="AD962" s="1037"/>
      <c r="AE962" s="1037"/>
      <c r="AF962" s="1037"/>
      <c r="AG962" s="1037"/>
      <c r="AH962" s="1037"/>
      <c r="AI962" s="1037"/>
      <c r="AJ962" s="1037"/>
      <c r="AK962" s="1037"/>
      <c r="AL962" s="1037"/>
      <c r="AM962" s="1037"/>
      <c r="AN962" s="1037"/>
      <c r="AO962" s="1037"/>
      <c r="AP962" s="1037"/>
    </row>
    <row r="963" spans="1:42" s="226" customFormat="1">
      <c r="A963" s="2060"/>
      <c r="B963" s="1037"/>
      <c r="C963" s="1037"/>
      <c r="D963" s="1037"/>
      <c r="E963" s="1037"/>
      <c r="F963" s="1037"/>
      <c r="G963" s="1037"/>
      <c r="H963" s="1018"/>
      <c r="I963" s="1037"/>
      <c r="J963" s="1037"/>
      <c r="K963" s="1037"/>
      <c r="L963" s="1037"/>
      <c r="M963" s="1037"/>
      <c r="N963" s="1037"/>
      <c r="O963" s="1037"/>
      <c r="P963" s="1037"/>
      <c r="Q963" s="1037"/>
      <c r="R963" s="1037"/>
      <c r="S963" s="1037"/>
      <c r="T963" s="1037"/>
      <c r="U963" s="1037"/>
      <c r="V963" s="1037"/>
      <c r="W963" s="1037"/>
      <c r="X963" s="1037"/>
      <c r="Y963" s="1037"/>
      <c r="Z963" s="1037"/>
      <c r="AA963" s="1037"/>
      <c r="AB963" s="1037"/>
      <c r="AC963" s="1037"/>
      <c r="AD963" s="1037"/>
      <c r="AE963" s="1037"/>
      <c r="AF963" s="1037"/>
      <c r="AG963" s="1037"/>
      <c r="AH963" s="1037"/>
      <c r="AI963" s="1037"/>
      <c r="AJ963" s="1037"/>
      <c r="AK963" s="1037"/>
      <c r="AL963" s="1037"/>
      <c r="AM963" s="1037"/>
      <c r="AN963" s="1037"/>
      <c r="AO963" s="1037"/>
      <c r="AP963" s="1037"/>
    </row>
    <row r="964" spans="1:42" s="226" customFormat="1">
      <c r="A964" s="2060"/>
      <c r="B964" s="1037"/>
      <c r="C964" s="1037"/>
      <c r="D964" s="1037"/>
      <c r="E964" s="1037"/>
      <c r="F964" s="1037"/>
      <c r="G964" s="1037"/>
      <c r="H964" s="1018"/>
      <c r="I964" s="1037"/>
      <c r="J964" s="1037"/>
      <c r="K964" s="1037"/>
      <c r="L964" s="1037"/>
      <c r="M964" s="1037"/>
      <c r="N964" s="1037"/>
      <c r="O964" s="1037"/>
      <c r="P964" s="1037"/>
      <c r="Q964" s="1037"/>
      <c r="R964" s="1037"/>
      <c r="S964" s="1037"/>
      <c r="T964" s="1037"/>
      <c r="U964" s="1037"/>
      <c r="V964" s="1037"/>
      <c r="W964" s="1037"/>
      <c r="X964" s="1037"/>
      <c r="Y964" s="1037"/>
      <c r="Z964" s="1037"/>
      <c r="AA964" s="1037"/>
      <c r="AB964" s="1037"/>
      <c r="AC964" s="1037"/>
      <c r="AD964" s="1037"/>
      <c r="AE964" s="1037"/>
      <c r="AF964" s="1037"/>
      <c r="AG964" s="1037"/>
      <c r="AH964" s="1037"/>
      <c r="AI964" s="1037"/>
      <c r="AJ964" s="1037"/>
      <c r="AK964" s="1037"/>
      <c r="AL964" s="1037"/>
      <c r="AM964" s="1037"/>
      <c r="AN964" s="1037"/>
      <c r="AO964" s="1037"/>
      <c r="AP964" s="1037"/>
    </row>
    <row r="965" spans="1:42" s="226" customFormat="1">
      <c r="A965" s="2060"/>
      <c r="B965" s="1037"/>
      <c r="C965" s="1037"/>
      <c r="D965" s="1037"/>
      <c r="E965" s="1037"/>
      <c r="F965" s="1037"/>
      <c r="G965" s="1037"/>
      <c r="H965" s="1018"/>
      <c r="I965" s="1037"/>
      <c r="J965" s="1037"/>
      <c r="K965" s="1037"/>
      <c r="L965" s="1037"/>
      <c r="M965" s="1037"/>
      <c r="N965" s="1037"/>
      <c r="O965" s="1037"/>
      <c r="P965" s="1037"/>
      <c r="Q965" s="1037"/>
      <c r="R965" s="1037"/>
      <c r="S965" s="1037"/>
      <c r="T965" s="1037"/>
      <c r="U965" s="1037"/>
      <c r="V965" s="1037"/>
      <c r="W965" s="1037"/>
      <c r="X965" s="1037"/>
      <c r="Y965" s="1037"/>
      <c r="Z965" s="1037"/>
      <c r="AA965" s="1037"/>
      <c r="AB965" s="1037"/>
      <c r="AC965" s="1037"/>
      <c r="AD965" s="1037"/>
      <c r="AE965" s="1037"/>
      <c r="AF965" s="1037"/>
      <c r="AG965" s="1037"/>
      <c r="AH965" s="1037"/>
      <c r="AI965" s="1037"/>
      <c r="AJ965" s="1037"/>
      <c r="AK965" s="1037"/>
      <c r="AL965" s="1037"/>
      <c r="AM965" s="1037"/>
      <c r="AN965" s="1037"/>
      <c r="AO965" s="1037"/>
      <c r="AP965" s="1037"/>
    </row>
    <row r="966" spans="1:42" s="226" customFormat="1">
      <c r="A966" s="2060"/>
      <c r="B966" s="1037"/>
      <c r="C966" s="1037"/>
      <c r="D966" s="1037"/>
      <c r="E966" s="1037"/>
      <c r="F966" s="1037"/>
      <c r="G966" s="1037"/>
      <c r="H966" s="1018"/>
      <c r="I966" s="1037"/>
      <c r="J966" s="1037"/>
      <c r="K966" s="1037"/>
      <c r="L966" s="1037"/>
      <c r="M966" s="1037"/>
      <c r="N966" s="1037"/>
      <c r="O966" s="1037"/>
      <c r="P966" s="1037"/>
      <c r="Q966" s="1037"/>
      <c r="R966" s="1037"/>
      <c r="S966" s="1037"/>
      <c r="T966" s="1037"/>
      <c r="U966" s="1037"/>
      <c r="V966" s="1037"/>
      <c r="W966" s="1037"/>
      <c r="X966" s="1037"/>
      <c r="Y966" s="1037"/>
      <c r="Z966" s="1037"/>
      <c r="AA966" s="1037"/>
      <c r="AB966" s="1037"/>
      <c r="AC966" s="1037"/>
      <c r="AD966" s="1037"/>
      <c r="AE966" s="1037"/>
      <c r="AF966" s="1037"/>
      <c r="AG966" s="1037"/>
      <c r="AH966" s="1037"/>
      <c r="AI966" s="1037"/>
      <c r="AJ966" s="1037"/>
      <c r="AK966" s="1037"/>
      <c r="AL966" s="1037"/>
      <c r="AM966" s="1037"/>
      <c r="AN966" s="1037"/>
      <c r="AO966" s="1037"/>
      <c r="AP966" s="1037"/>
    </row>
    <row r="967" spans="1:42" s="226" customFormat="1">
      <c r="A967" s="2060"/>
      <c r="B967" s="1037"/>
      <c r="C967" s="1037"/>
      <c r="D967" s="1037"/>
      <c r="E967" s="1037"/>
      <c r="F967" s="1037"/>
      <c r="G967" s="1037"/>
      <c r="H967" s="1018"/>
      <c r="I967" s="1037"/>
      <c r="J967" s="1037"/>
      <c r="K967" s="1037"/>
      <c r="L967" s="1037"/>
      <c r="M967" s="1037"/>
      <c r="N967" s="1037"/>
      <c r="O967" s="1037"/>
      <c r="P967" s="1037"/>
      <c r="Q967" s="1037"/>
      <c r="R967" s="1037"/>
      <c r="S967" s="1037"/>
      <c r="T967" s="1037"/>
      <c r="U967" s="1037"/>
      <c r="V967" s="1037"/>
      <c r="W967" s="1037"/>
      <c r="X967" s="1037"/>
      <c r="Y967" s="1037"/>
      <c r="Z967" s="1037"/>
      <c r="AA967" s="1037"/>
      <c r="AB967" s="1037"/>
      <c r="AC967" s="1037"/>
      <c r="AD967" s="1037"/>
      <c r="AE967" s="1037"/>
      <c r="AF967" s="1037"/>
      <c r="AG967" s="1037"/>
      <c r="AH967" s="1037"/>
      <c r="AI967" s="1037"/>
      <c r="AJ967" s="1037"/>
      <c r="AK967" s="1037"/>
      <c r="AL967" s="1037"/>
      <c r="AM967" s="1037"/>
      <c r="AN967" s="1037"/>
      <c r="AO967" s="1037"/>
      <c r="AP967" s="1037"/>
    </row>
    <row r="968" spans="1:42" s="226" customFormat="1">
      <c r="A968" s="2060"/>
      <c r="B968" s="1037"/>
      <c r="C968" s="1037"/>
      <c r="D968" s="1037"/>
      <c r="E968" s="1037"/>
      <c r="F968" s="1037"/>
      <c r="G968" s="1037"/>
      <c r="H968" s="1018"/>
      <c r="I968" s="1037"/>
      <c r="J968" s="1037"/>
      <c r="K968" s="1037"/>
      <c r="L968" s="1037"/>
      <c r="M968" s="1037"/>
      <c r="N968" s="1037"/>
      <c r="O968" s="1037"/>
      <c r="P968" s="1037"/>
      <c r="Q968" s="1037"/>
      <c r="R968" s="1037"/>
      <c r="S968" s="1037"/>
      <c r="T968" s="1037"/>
      <c r="U968" s="1037"/>
      <c r="V968" s="1037"/>
      <c r="W968" s="1037"/>
      <c r="X968" s="1037"/>
      <c r="Y968" s="1037"/>
      <c r="Z968" s="1037"/>
      <c r="AA968" s="1037"/>
      <c r="AB968" s="1037"/>
      <c r="AC968" s="1037"/>
      <c r="AD968" s="1037"/>
      <c r="AE968" s="1037"/>
      <c r="AF968" s="1037"/>
      <c r="AG968" s="1037"/>
      <c r="AH968" s="1037"/>
      <c r="AI968" s="1037"/>
      <c r="AJ968" s="1037"/>
      <c r="AK968" s="1037"/>
      <c r="AL968" s="1037"/>
      <c r="AM968" s="1037"/>
      <c r="AN968" s="1037"/>
      <c r="AO968" s="1037"/>
      <c r="AP968" s="1037"/>
    </row>
    <row r="969" spans="1:42" s="226" customFormat="1">
      <c r="A969" s="2060"/>
      <c r="B969" s="1037"/>
      <c r="C969" s="1037"/>
      <c r="D969" s="1037"/>
      <c r="E969" s="1037"/>
      <c r="F969" s="1037"/>
      <c r="G969" s="1037"/>
      <c r="H969" s="1018"/>
      <c r="I969" s="1037"/>
      <c r="J969" s="1037"/>
      <c r="K969" s="1037"/>
      <c r="L969" s="1037"/>
      <c r="M969" s="1037"/>
      <c r="N969" s="1037"/>
      <c r="O969" s="1037"/>
      <c r="P969" s="1037"/>
      <c r="Q969" s="1037"/>
      <c r="R969" s="1037"/>
      <c r="S969" s="1037"/>
      <c r="T969" s="1037"/>
      <c r="U969" s="1037"/>
      <c r="V969" s="1037"/>
      <c r="W969" s="1037"/>
      <c r="X969" s="1037"/>
      <c r="Y969" s="1037"/>
      <c r="Z969" s="1037"/>
      <c r="AA969" s="1037"/>
      <c r="AB969" s="1037"/>
      <c r="AC969" s="1037"/>
      <c r="AD969" s="1037"/>
      <c r="AE969" s="1037"/>
      <c r="AF969" s="1037"/>
      <c r="AG969" s="1037"/>
      <c r="AH969" s="1037"/>
      <c r="AI969" s="1037"/>
      <c r="AJ969" s="1037"/>
      <c r="AK969" s="1037"/>
      <c r="AL969" s="1037"/>
      <c r="AM969" s="1037"/>
      <c r="AN969" s="1037"/>
      <c r="AO969" s="1037"/>
      <c r="AP969" s="1037"/>
    </row>
    <row r="970" spans="1:42" s="226" customFormat="1">
      <c r="A970" s="2060"/>
      <c r="B970" s="1037"/>
      <c r="C970" s="1037"/>
      <c r="D970" s="1037"/>
      <c r="E970" s="1037"/>
      <c r="F970" s="1037"/>
      <c r="G970" s="1037"/>
      <c r="H970" s="1018"/>
      <c r="I970" s="1037"/>
      <c r="J970" s="1037"/>
      <c r="K970" s="1037"/>
      <c r="L970" s="1037"/>
      <c r="M970" s="1037"/>
      <c r="N970" s="1037"/>
      <c r="O970" s="1037"/>
      <c r="P970" s="1037"/>
      <c r="Q970" s="1037"/>
      <c r="R970" s="1037"/>
      <c r="S970" s="1037"/>
      <c r="T970" s="1037"/>
      <c r="U970" s="1037"/>
      <c r="V970" s="1037"/>
      <c r="W970" s="1037"/>
      <c r="X970" s="1037"/>
      <c r="Y970" s="1037"/>
      <c r="Z970" s="1037"/>
      <c r="AA970" s="1037"/>
      <c r="AB970" s="1037"/>
      <c r="AC970" s="1037"/>
      <c r="AD970" s="1037"/>
      <c r="AE970" s="1037"/>
      <c r="AF970" s="1037"/>
      <c r="AG970" s="1037"/>
      <c r="AH970" s="1037"/>
      <c r="AI970" s="1037"/>
      <c r="AJ970" s="1037"/>
      <c r="AK970" s="1037"/>
      <c r="AL970" s="1037"/>
      <c r="AM970" s="1037"/>
      <c r="AN970" s="1037"/>
      <c r="AO970" s="1037"/>
      <c r="AP970" s="1037"/>
    </row>
    <row r="971" spans="1:42" s="226" customFormat="1">
      <c r="A971" s="2060"/>
      <c r="B971" s="1037"/>
      <c r="C971" s="1037"/>
      <c r="D971" s="1037"/>
      <c r="E971" s="1037"/>
      <c r="F971" s="1037"/>
      <c r="G971" s="1037"/>
      <c r="H971" s="1018"/>
      <c r="I971" s="1037"/>
      <c r="J971" s="1037"/>
      <c r="K971" s="1037"/>
      <c r="L971" s="1037"/>
      <c r="M971" s="1037"/>
      <c r="N971" s="1037"/>
      <c r="O971" s="1037"/>
      <c r="P971" s="1037"/>
      <c r="Q971" s="1037"/>
      <c r="R971" s="1037"/>
      <c r="S971" s="1037"/>
      <c r="T971" s="1037"/>
      <c r="U971" s="1037"/>
      <c r="V971" s="1037"/>
      <c r="W971" s="1037"/>
      <c r="X971" s="1037"/>
      <c r="Y971" s="1037"/>
      <c r="Z971" s="1037"/>
      <c r="AA971" s="1037"/>
      <c r="AB971" s="1037"/>
      <c r="AC971" s="1037"/>
      <c r="AD971" s="1037"/>
      <c r="AE971" s="1037"/>
      <c r="AF971" s="1037"/>
      <c r="AG971" s="1037"/>
      <c r="AH971" s="1037"/>
      <c r="AI971" s="1037"/>
      <c r="AJ971" s="1037"/>
      <c r="AK971" s="1037"/>
      <c r="AL971" s="1037"/>
      <c r="AM971" s="1037"/>
      <c r="AN971" s="1037"/>
      <c r="AO971" s="1037"/>
      <c r="AP971" s="1037"/>
    </row>
    <row r="972" spans="1:42" s="226" customFormat="1">
      <c r="A972" s="2060"/>
      <c r="B972" s="1037"/>
      <c r="C972" s="1037"/>
      <c r="D972" s="1037"/>
      <c r="E972" s="1037"/>
      <c r="F972" s="1037"/>
      <c r="G972" s="1037"/>
      <c r="H972" s="1018"/>
      <c r="I972" s="1037"/>
      <c r="J972" s="1037"/>
      <c r="K972" s="1037"/>
      <c r="L972" s="1037"/>
      <c r="M972" s="1037"/>
      <c r="N972" s="1037"/>
      <c r="O972" s="1037"/>
      <c r="P972" s="1037"/>
      <c r="Q972" s="1037"/>
      <c r="R972" s="1037"/>
      <c r="S972" s="1037"/>
      <c r="T972" s="1037"/>
      <c r="U972" s="1037"/>
      <c r="V972" s="1037"/>
      <c r="W972" s="1037"/>
      <c r="X972" s="1037"/>
      <c r="Y972" s="1037"/>
      <c r="Z972" s="1037"/>
      <c r="AA972" s="1037"/>
      <c r="AB972" s="1037"/>
      <c r="AC972" s="1037"/>
      <c r="AD972" s="1037"/>
      <c r="AE972" s="1037"/>
      <c r="AF972" s="1037"/>
      <c r="AG972" s="1037"/>
      <c r="AH972" s="1037"/>
      <c r="AI972" s="1037"/>
      <c r="AJ972" s="1037"/>
      <c r="AK972" s="1037"/>
      <c r="AL972" s="1037"/>
      <c r="AM972" s="1037"/>
      <c r="AN972" s="1037"/>
      <c r="AO972" s="1037"/>
      <c r="AP972" s="1037"/>
    </row>
    <row r="973" spans="1:42" s="226" customFormat="1">
      <c r="A973" s="2060"/>
      <c r="B973" s="1037"/>
      <c r="C973" s="1037"/>
      <c r="D973" s="1037"/>
      <c r="E973" s="1037"/>
      <c r="F973" s="1037"/>
      <c r="G973" s="1037"/>
      <c r="H973" s="1018"/>
      <c r="I973" s="1037"/>
      <c r="J973" s="1037"/>
      <c r="K973" s="1037"/>
      <c r="L973" s="1037"/>
      <c r="M973" s="1037"/>
      <c r="N973" s="1037"/>
      <c r="O973" s="1037"/>
      <c r="P973" s="1037"/>
      <c r="Q973" s="1037"/>
      <c r="R973" s="1037"/>
      <c r="S973" s="1037"/>
      <c r="T973" s="1037"/>
      <c r="U973" s="1037"/>
      <c r="V973" s="1037"/>
      <c r="W973" s="1037"/>
      <c r="X973" s="1037"/>
      <c r="Y973" s="1037"/>
      <c r="Z973" s="1037"/>
      <c r="AA973" s="1037"/>
      <c r="AB973" s="1037"/>
      <c r="AC973" s="1037"/>
      <c r="AD973" s="1037"/>
      <c r="AE973" s="1037"/>
      <c r="AF973" s="1037"/>
      <c r="AG973" s="1037"/>
      <c r="AH973" s="1037"/>
      <c r="AI973" s="1037"/>
      <c r="AJ973" s="1037"/>
      <c r="AK973" s="1037"/>
      <c r="AL973" s="1037"/>
      <c r="AM973" s="1037"/>
      <c r="AN973" s="1037"/>
      <c r="AO973" s="1037"/>
      <c r="AP973" s="1037"/>
    </row>
    <row r="974" spans="1:42" s="226" customFormat="1">
      <c r="A974" s="2060"/>
      <c r="B974" s="1037"/>
      <c r="C974" s="1037"/>
      <c r="D974" s="1037"/>
      <c r="E974" s="1037"/>
      <c r="F974" s="1037"/>
      <c r="G974" s="1037"/>
      <c r="H974" s="1018"/>
      <c r="I974" s="1037"/>
      <c r="J974" s="1037"/>
      <c r="K974" s="1037"/>
      <c r="L974" s="1037"/>
      <c r="M974" s="1037"/>
      <c r="N974" s="1037"/>
      <c r="O974" s="1037"/>
      <c r="P974" s="1037"/>
      <c r="Q974" s="1037"/>
      <c r="R974" s="1037"/>
      <c r="S974" s="1037"/>
      <c r="T974" s="1037"/>
      <c r="U974" s="1037"/>
      <c r="V974" s="1037"/>
      <c r="W974" s="1037"/>
      <c r="X974" s="1037"/>
      <c r="Y974" s="1037"/>
      <c r="Z974" s="1037"/>
      <c r="AA974" s="1037"/>
      <c r="AB974" s="1037"/>
      <c r="AC974" s="1037"/>
      <c r="AD974" s="1037"/>
      <c r="AE974" s="1037"/>
      <c r="AF974" s="1037"/>
      <c r="AG974" s="1037"/>
      <c r="AH974" s="1037"/>
      <c r="AI974" s="1037"/>
      <c r="AJ974" s="1037"/>
      <c r="AK974" s="1037"/>
      <c r="AL974" s="1037"/>
      <c r="AM974" s="1037"/>
      <c r="AN974" s="1037"/>
      <c r="AO974" s="1037"/>
      <c r="AP974" s="1037"/>
    </row>
    <row r="975" spans="1:42" s="226" customFormat="1">
      <c r="A975" s="2060"/>
      <c r="B975" s="1037"/>
      <c r="C975" s="1037"/>
      <c r="D975" s="1037"/>
      <c r="E975" s="1037"/>
      <c r="F975" s="1037"/>
      <c r="G975" s="1037"/>
      <c r="H975" s="1018"/>
      <c r="I975" s="1037"/>
      <c r="J975" s="1037"/>
      <c r="K975" s="1037"/>
      <c r="L975" s="1037"/>
      <c r="M975" s="1037"/>
      <c r="N975" s="1037"/>
      <c r="O975" s="1037"/>
      <c r="P975" s="1037"/>
      <c r="Q975" s="1037"/>
      <c r="R975" s="1037"/>
      <c r="S975" s="1037"/>
      <c r="T975" s="1037"/>
      <c r="U975" s="1037"/>
      <c r="V975" s="1037"/>
      <c r="W975" s="1037"/>
      <c r="X975" s="1037"/>
      <c r="Y975" s="1037"/>
      <c r="Z975" s="1037"/>
      <c r="AA975" s="1037"/>
      <c r="AB975" s="1037"/>
      <c r="AC975" s="1037"/>
      <c r="AD975" s="1037"/>
      <c r="AE975" s="1037"/>
      <c r="AF975" s="1037"/>
      <c r="AG975" s="1037"/>
      <c r="AH975" s="1037"/>
      <c r="AI975" s="1037"/>
      <c r="AJ975" s="1037"/>
      <c r="AK975" s="1037"/>
      <c r="AL975" s="1037"/>
      <c r="AM975" s="1037"/>
      <c r="AN975" s="1037"/>
      <c r="AO975" s="1037"/>
      <c r="AP975" s="1037"/>
    </row>
    <row r="976" spans="1:42" s="226" customFormat="1">
      <c r="A976" s="2060"/>
      <c r="B976" s="1037"/>
      <c r="C976" s="1037"/>
      <c r="D976" s="1037"/>
      <c r="E976" s="1037"/>
      <c r="F976" s="1037"/>
      <c r="G976" s="1037"/>
      <c r="H976" s="1018"/>
      <c r="I976" s="1037"/>
      <c r="J976" s="1037"/>
      <c r="K976" s="1037"/>
      <c r="L976" s="1037"/>
      <c r="M976" s="1037"/>
      <c r="N976" s="1037"/>
      <c r="O976" s="1037"/>
      <c r="P976" s="1037"/>
      <c r="Q976" s="1037"/>
      <c r="R976" s="1037"/>
      <c r="S976" s="1037"/>
      <c r="T976" s="1037"/>
      <c r="U976" s="1037"/>
      <c r="V976" s="1037"/>
      <c r="W976" s="1037"/>
      <c r="X976" s="1037"/>
      <c r="Y976" s="1037"/>
      <c r="Z976" s="1037"/>
      <c r="AA976" s="1037"/>
      <c r="AB976" s="1037"/>
      <c r="AC976" s="1037"/>
      <c r="AD976" s="1037"/>
      <c r="AE976" s="1037"/>
      <c r="AF976" s="1037"/>
      <c r="AG976" s="1037"/>
      <c r="AH976" s="1037"/>
      <c r="AI976" s="1037"/>
      <c r="AJ976" s="1037"/>
      <c r="AK976" s="1037"/>
      <c r="AL976" s="1037"/>
      <c r="AM976" s="1037"/>
      <c r="AN976" s="1037"/>
      <c r="AO976" s="1037"/>
      <c r="AP976" s="1037"/>
    </row>
    <row r="977" spans="1:42" s="226" customFormat="1">
      <c r="A977" s="2060"/>
      <c r="B977" s="1037"/>
      <c r="C977" s="1037"/>
      <c r="D977" s="1037"/>
      <c r="E977" s="1037"/>
      <c r="F977" s="1037"/>
      <c r="G977" s="1037"/>
      <c r="H977" s="1018"/>
      <c r="I977" s="1037"/>
      <c r="J977" s="1037"/>
      <c r="K977" s="1037"/>
      <c r="L977" s="1037"/>
      <c r="M977" s="1037"/>
      <c r="N977" s="1037"/>
      <c r="O977" s="1037"/>
      <c r="P977" s="1037"/>
      <c r="Q977" s="1037"/>
      <c r="R977" s="1037"/>
      <c r="S977" s="1037"/>
      <c r="T977" s="1037"/>
      <c r="U977" s="1037"/>
      <c r="V977" s="1037"/>
      <c r="W977" s="1037"/>
      <c r="X977" s="1037"/>
      <c r="Y977" s="1037"/>
      <c r="Z977" s="1037"/>
      <c r="AA977" s="1037"/>
      <c r="AB977" s="1037"/>
      <c r="AC977" s="1037"/>
      <c r="AD977" s="1037"/>
      <c r="AE977" s="1037"/>
      <c r="AF977" s="1037"/>
      <c r="AG977" s="1037"/>
      <c r="AH977" s="1037"/>
      <c r="AI977" s="1037"/>
      <c r="AJ977" s="1037"/>
      <c r="AK977" s="1037"/>
      <c r="AL977" s="1037"/>
      <c r="AM977" s="1037"/>
      <c r="AN977" s="1037"/>
      <c r="AO977" s="1037"/>
      <c r="AP977" s="1037"/>
    </row>
    <row r="978" spans="1:42" s="226" customFormat="1">
      <c r="A978" s="2060"/>
      <c r="B978" s="1037"/>
      <c r="C978" s="1037"/>
      <c r="D978" s="1037"/>
      <c r="E978" s="1037"/>
      <c r="F978" s="1037"/>
      <c r="G978" s="1037"/>
      <c r="H978" s="1018"/>
      <c r="I978" s="1037"/>
      <c r="J978" s="1037"/>
      <c r="K978" s="1037"/>
      <c r="L978" s="1037"/>
      <c r="M978" s="1037"/>
      <c r="N978" s="1037"/>
      <c r="O978" s="1037"/>
      <c r="P978" s="1037"/>
      <c r="Q978" s="1037"/>
      <c r="R978" s="1037"/>
      <c r="S978" s="1037"/>
      <c r="T978" s="1037"/>
      <c r="U978" s="1037"/>
      <c r="V978" s="1037"/>
      <c r="W978" s="1037"/>
      <c r="X978" s="1037"/>
      <c r="Y978" s="1037"/>
      <c r="Z978" s="1037"/>
      <c r="AA978" s="1037"/>
      <c r="AB978" s="1037"/>
      <c r="AC978" s="1037"/>
      <c r="AD978" s="1037"/>
      <c r="AE978" s="1037"/>
      <c r="AF978" s="1037"/>
      <c r="AG978" s="1037"/>
      <c r="AH978" s="1037"/>
      <c r="AI978" s="1037"/>
      <c r="AJ978" s="1037"/>
      <c r="AK978" s="1037"/>
      <c r="AL978" s="1037"/>
      <c r="AM978" s="1037"/>
      <c r="AN978" s="1037"/>
      <c r="AO978" s="1037"/>
      <c r="AP978" s="1037"/>
    </row>
    <row r="979" spans="1:42" s="226" customFormat="1">
      <c r="A979" s="2060"/>
      <c r="B979" s="1037"/>
      <c r="C979" s="1037"/>
      <c r="D979" s="1037"/>
      <c r="E979" s="1037"/>
      <c r="F979" s="1037"/>
      <c r="G979" s="1037"/>
      <c r="H979" s="1018"/>
      <c r="I979" s="1037"/>
      <c r="J979" s="1037"/>
      <c r="K979" s="1037"/>
      <c r="L979" s="1037"/>
      <c r="M979" s="1037"/>
      <c r="N979" s="1037"/>
      <c r="O979" s="1037"/>
      <c r="P979" s="1037"/>
      <c r="Q979" s="1037"/>
      <c r="R979" s="1037"/>
      <c r="S979" s="1037"/>
      <c r="T979" s="1037"/>
      <c r="U979" s="1037"/>
      <c r="V979" s="1037"/>
      <c r="W979" s="1037"/>
      <c r="X979" s="1037"/>
      <c r="Y979" s="1037"/>
      <c r="Z979" s="1037"/>
      <c r="AA979" s="1037"/>
      <c r="AB979" s="1037"/>
      <c r="AC979" s="1037"/>
      <c r="AD979" s="1037"/>
      <c r="AE979" s="1037"/>
      <c r="AF979" s="1037"/>
      <c r="AG979" s="1037"/>
      <c r="AH979" s="1037"/>
      <c r="AI979" s="1037"/>
      <c r="AJ979" s="1037"/>
      <c r="AK979" s="1037"/>
      <c r="AL979" s="1037"/>
      <c r="AM979" s="1037"/>
      <c r="AN979" s="1037"/>
      <c r="AO979" s="1037"/>
      <c r="AP979" s="1037"/>
    </row>
    <row r="980" spans="1:42" s="226" customFormat="1">
      <c r="A980" s="2060"/>
      <c r="B980" s="1037"/>
      <c r="C980" s="1037"/>
      <c r="D980" s="1037"/>
      <c r="E980" s="1037"/>
      <c r="F980" s="1037"/>
      <c r="G980" s="1037"/>
      <c r="H980" s="1018"/>
      <c r="I980" s="1037"/>
      <c r="J980" s="1037"/>
      <c r="K980" s="1037"/>
      <c r="L980" s="1037"/>
      <c r="M980" s="1037"/>
      <c r="N980" s="1037"/>
      <c r="O980" s="1037"/>
      <c r="P980" s="1037"/>
      <c r="Q980" s="1037"/>
      <c r="R980" s="1037"/>
      <c r="S980" s="1037"/>
      <c r="T980" s="1037"/>
      <c r="U980" s="1037"/>
      <c r="V980" s="1037"/>
      <c r="W980" s="1037"/>
      <c r="X980" s="1037"/>
      <c r="Y980" s="1037"/>
      <c r="Z980" s="1037"/>
      <c r="AA980" s="1037"/>
      <c r="AB980" s="1037"/>
      <c r="AC980" s="1037"/>
      <c r="AD980" s="1037"/>
      <c r="AE980" s="1037"/>
      <c r="AF980" s="1037"/>
      <c r="AG980" s="1037"/>
      <c r="AH980" s="1037"/>
      <c r="AI980" s="1037"/>
      <c r="AJ980" s="1037"/>
      <c r="AK980" s="1037"/>
      <c r="AL980" s="1037"/>
      <c r="AM980" s="1037"/>
      <c r="AN980" s="1037"/>
      <c r="AO980" s="1037"/>
      <c r="AP980" s="1037"/>
    </row>
    <row r="981" spans="1:42" s="226" customFormat="1">
      <c r="A981" s="2060"/>
      <c r="B981" s="1037"/>
      <c r="C981" s="1037"/>
      <c r="D981" s="1037"/>
      <c r="E981" s="1037"/>
      <c r="F981" s="1037"/>
      <c r="G981" s="1037"/>
      <c r="H981" s="1018"/>
      <c r="I981" s="1037"/>
      <c r="J981" s="1037"/>
      <c r="K981" s="1037"/>
      <c r="L981" s="1037"/>
      <c r="M981" s="1037"/>
      <c r="N981" s="1037"/>
      <c r="O981" s="1037"/>
      <c r="P981" s="1037"/>
      <c r="Q981" s="1037"/>
      <c r="R981" s="1037"/>
      <c r="S981" s="1037"/>
      <c r="T981" s="1037"/>
      <c r="U981" s="1037"/>
      <c r="V981" s="1037"/>
      <c r="W981" s="1037"/>
      <c r="X981" s="1037"/>
      <c r="Y981" s="1037"/>
      <c r="Z981" s="1037"/>
      <c r="AA981" s="1037"/>
      <c r="AB981" s="1037"/>
      <c r="AC981" s="1037"/>
      <c r="AD981" s="1037"/>
      <c r="AE981" s="1037"/>
      <c r="AF981" s="1037"/>
      <c r="AG981" s="1037"/>
      <c r="AH981" s="1037"/>
      <c r="AI981" s="1037"/>
      <c r="AJ981" s="1037"/>
      <c r="AK981" s="1037"/>
      <c r="AL981" s="1037"/>
      <c r="AM981" s="1037"/>
      <c r="AN981" s="1037"/>
      <c r="AO981" s="1037"/>
      <c r="AP981" s="1037"/>
    </row>
    <row r="982" spans="1:42" s="226" customFormat="1">
      <c r="A982" s="2060"/>
      <c r="B982" s="1037"/>
      <c r="C982" s="1037"/>
      <c r="D982" s="1037"/>
      <c r="E982" s="1037"/>
      <c r="F982" s="1037"/>
      <c r="G982" s="1037"/>
      <c r="H982" s="1018"/>
      <c r="I982" s="1037"/>
      <c r="J982" s="1037"/>
      <c r="K982" s="1037"/>
      <c r="L982" s="1037"/>
      <c r="M982" s="1037"/>
      <c r="N982" s="1037"/>
      <c r="O982" s="1037"/>
      <c r="P982" s="1037"/>
      <c r="Q982" s="1037"/>
      <c r="R982" s="1037"/>
      <c r="S982" s="1037"/>
      <c r="T982" s="1037"/>
      <c r="U982" s="1037"/>
      <c r="V982" s="1037"/>
      <c r="W982" s="1037"/>
      <c r="X982" s="1037"/>
      <c r="Y982" s="1037"/>
      <c r="Z982" s="1037"/>
      <c r="AA982" s="1037"/>
      <c r="AB982" s="1037"/>
      <c r="AC982" s="1037"/>
      <c r="AD982" s="1037"/>
      <c r="AE982" s="1037"/>
      <c r="AF982" s="1037"/>
      <c r="AG982" s="1037"/>
      <c r="AH982" s="1037"/>
      <c r="AI982" s="1037"/>
      <c r="AJ982" s="1037"/>
      <c r="AK982" s="1037"/>
      <c r="AL982" s="1037"/>
      <c r="AM982" s="1037"/>
      <c r="AN982" s="1037"/>
      <c r="AO982" s="1037"/>
      <c r="AP982" s="1037"/>
    </row>
    <row r="983" spans="1:42" s="226" customFormat="1">
      <c r="A983" s="2060"/>
      <c r="B983" s="1037"/>
      <c r="C983" s="1037"/>
      <c r="D983" s="1037"/>
      <c r="E983" s="1037"/>
      <c r="F983" s="1037"/>
      <c r="G983" s="1037"/>
      <c r="H983" s="1018"/>
      <c r="I983" s="1037"/>
      <c r="J983" s="1037"/>
      <c r="K983" s="1037"/>
      <c r="L983" s="1037"/>
      <c r="M983" s="1037"/>
      <c r="N983" s="1037"/>
      <c r="O983" s="1037"/>
      <c r="P983" s="1037"/>
      <c r="Q983" s="1037"/>
      <c r="R983" s="1037"/>
      <c r="S983" s="1037"/>
      <c r="T983" s="1037"/>
      <c r="U983" s="1037"/>
      <c r="V983" s="1037"/>
      <c r="W983" s="1037"/>
      <c r="X983" s="1037"/>
      <c r="Y983" s="1037"/>
      <c r="Z983" s="1037"/>
      <c r="AA983" s="1037"/>
      <c r="AB983" s="1037"/>
      <c r="AC983" s="1037"/>
      <c r="AD983" s="1037"/>
      <c r="AE983" s="1037"/>
      <c r="AF983" s="1037"/>
      <c r="AG983" s="1037"/>
      <c r="AH983" s="1037"/>
      <c r="AI983" s="1037"/>
      <c r="AJ983" s="1037"/>
      <c r="AK983" s="1037"/>
      <c r="AL983" s="1037"/>
      <c r="AM983" s="1037"/>
      <c r="AN983" s="1037"/>
      <c r="AO983" s="1037"/>
      <c r="AP983" s="1037"/>
    </row>
    <row r="984" spans="1:42" s="226" customFormat="1">
      <c r="A984" s="2060"/>
      <c r="B984" s="1037"/>
      <c r="C984" s="1037"/>
      <c r="D984" s="1037"/>
      <c r="E984" s="1037"/>
      <c r="F984" s="1037"/>
      <c r="G984" s="1037"/>
      <c r="H984" s="1018"/>
      <c r="I984" s="1037"/>
      <c r="J984" s="1037"/>
      <c r="K984" s="1037"/>
      <c r="L984" s="1037"/>
      <c r="M984" s="1037"/>
      <c r="N984" s="1037"/>
      <c r="O984" s="1037"/>
      <c r="P984" s="1037"/>
      <c r="Q984" s="1037"/>
      <c r="R984" s="1037"/>
      <c r="S984" s="1037"/>
      <c r="T984" s="1037"/>
      <c r="U984" s="1037"/>
      <c r="V984" s="1037"/>
      <c r="W984" s="1037"/>
      <c r="X984" s="1037"/>
      <c r="Y984" s="1037"/>
      <c r="Z984" s="1037"/>
      <c r="AA984" s="1037"/>
      <c r="AB984" s="1037"/>
      <c r="AC984" s="1037"/>
      <c r="AD984" s="1037"/>
      <c r="AE984" s="1037"/>
      <c r="AF984" s="1037"/>
      <c r="AG984" s="1037"/>
      <c r="AH984" s="1037"/>
      <c r="AI984" s="1037"/>
      <c r="AJ984" s="1037"/>
      <c r="AK984" s="1037"/>
      <c r="AL984" s="1037"/>
      <c r="AM984" s="1037"/>
      <c r="AN984" s="1037"/>
      <c r="AO984" s="1037"/>
      <c r="AP984" s="1037"/>
    </row>
    <row r="985" spans="1:42" s="226" customFormat="1">
      <c r="A985" s="2060"/>
      <c r="B985" s="1037"/>
      <c r="C985" s="1037"/>
      <c r="D985" s="1037"/>
      <c r="E985" s="1037"/>
      <c r="F985" s="1037"/>
      <c r="G985" s="1037"/>
      <c r="H985" s="1018"/>
      <c r="I985" s="1037"/>
      <c r="J985" s="1037"/>
      <c r="K985" s="1037"/>
      <c r="L985" s="1037"/>
      <c r="M985" s="1037"/>
      <c r="N985" s="1037"/>
      <c r="O985" s="1037"/>
      <c r="P985" s="1037"/>
      <c r="Q985" s="1037"/>
      <c r="R985" s="1037"/>
      <c r="S985" s="1037"/>
      <c r="T985" s="1037"/>
      <c r="U985" s="1037"/>
      <c r="V985" s="1037"/>
      <c r="W985" s="1037"/>
      <c r="X985" s="1037"/>
      <c r="Y985" s="1037"/>
      <c r="Z985" s="1037"/>
      <c r="AA985" s="1037"/>
      <c r="AB985" s="1037"/>
      <c r="AC985" s="1037"/>
      <c r="AD985" s="1037"/>
      <c r="AE985" s="1037"/>
      <c r="AF985" s="1037"/>
      <c r="AG985" s="1037"/>
      <c r="AH985" s="1037"/>
      <c r="AI985" s="1037"/>
      <c r="AJ985" s="1037"/>
      <c r="AK985" s="1037"/>
      <c r="AL985" s="1037"/>
      <c r="AM985" s="1037"/>
      <c r="AN985" s="1037"/>
      <c r="AO985" s="1037"/>
      <c r="AP985" s="1037"/>
    </row>
    <row r="986" spans="1:42" s="226" customFormat="1">
      <c r="A986" s="2060"/>
      <c r="B986" s="1037"/>
      <c r="C986" s="1037"/>
      <c r="D986" s="1037"/>
      <c r="E986" s="1037"/>
      <c r="F986" s="1037"/>
      <c r="G986" s="1037"/>
      <c r="H986" s="1018"/>
      <c r="I986" s="1037"/>
      <c r="J986" s="1037"/>
      <c r="K986" s="1037"/>
      <c r="L986" s="1037"/>
      <c r="M986" s="1037"/>
      <c r="N986" s="1037"/>
      <c r="O986" s="1037"/>
      <c r="P986" s="1037"/>
      <c r="Q986" s="1037"/>
      <c r="R986" s="1037"/>
      <c r="S986" s="1037"/>
      <c r="T986" s="1037"/>
      <c r="U986" s="1037"/>
      <c r="V986" s="1037"/>
      <c r="W986" s="1037"/>
      <c r="X986" s="1037"/>
      <c r="Y986" s="1037"/>
      <c r="Z986" s="1037"/>
      <c r="AA986" s="1037"/>
      <c r="AB986" s="1037"/>
      <c r="AC986" s="1037"/>
      <c r="AD986" s="1037"/>
      <c r="AE986" s="1037"/>
      <c r="AF986" s="1037"/>
      <c r="AG986" s="1037"/>
      <c r="AH986" s="1037"/>
      <c r="AI986" s="1037"/>
      <c r="AJ986" s="1037"/>
      <c r="AK986" s="1037"/>
      <c r="AL986" s="1037"/>
      <c r="AM986" s="1037"/>
      <c r="AN986" s="1037"/>
      <c r="AO986" s="1037"/>
      <c r="AP986" s="1037"/>
    </row>
    <row r="987" spans="1:42" s="226" customFormat="1">
      <c r="A987" s="2060"/>
      <c r="B987" s="1037"/>
      <c r="C987" s="1037"/>
      <c r="D987" s="1037"/>
      <c r="E987" s="1037"/>
      <c r="F987" s="1037"/>
      <c r="G987" s="1037"/>
      <c r="H987" s="1018"/>
      <c r="I987" s="1037"/>
      <c r="J987" s="1037"/>
      <c r="K987" s="1037"/>
      <c r="L987" s="1037"/>
      <c r="M987" s="1037"/>
      <c r="N987" s="1037"/>
      <c r="O987" s="1037"/>
      <c r="P987" s="1037"/>
      <c r="Q987" s="1037"/>
      <c r="R987" s="1037"/>
      <c r="S987" s="1037"/>
      <c r="T987" s="1037"/>
      <c r="U987" s="1037"/>
      <c r="V987" s="1037"/>
      <c r="W987" s="1037"/>
      <c r="X987" s="1037"/>
      <c r="Y987" s="1037"/>
      <c r="Z987" s="1037"/>
      <c r="AA987" s="1037"/>
      <c r="AB987" s="1037"/>
      <c r="AC987" s="1037"/>
      <c r="AD987" s="1037"/>
      <c r="AE987" s="1037"/>
      <c r="AF987" s="1037"/>
      <c r="AG987" s="1037"/>
      <c r="AH987" s="1037"/>
      <c r="AI987" s="1037"/>
      <c r="AJ987" s="1037"/>
      <c r="AK987" s="1037"/>
      <c r="AL987" s="1037"/>
      <c r="AM987" s="1037"/>
      <c r="AN987" s="1037"/>
      <c r="AO987" s="1037"/>
      <c r="AP987" s="1037"/>
    </row>
    <row r="988" spans="1:42" s="226" customFormat="1">
      <c r="A988" s="2060"/>
      <c r="B988" s="1037"/>
      <c r="C988" s="1037"/>
      <c r="D988" s="1037"/>
      <c r="E988" s="1037"/>
      <c r="F988" s="1037"/>
      <c r="G988" s="1037"/>
      <c r="H988" s="1018"/>
      <c r="I988" s="1037"/>
      <c r="J988" s="1037"/>
      <c r="K988" s="1037"/>
      <c r="L988" s="1037"/>
      <c r="M988" s="1037"/>
      <c r="N988" s="1037"/>
      <c r="O988" s="1037"/>
      <c r="P988" s="1037"/>
      <c r="Q988" s="1037"/>
      <c r="R988" s="1037"/>
      <c r="S988" s="1037"/>
      <c r="T988" s="1037"/>
      <c r="U988" s="1037"/>
      <c r="V988" s="1037"/>
      <c r="W988" s="1037"/>
      <c r="X988" s="1037"/>
      <c r="Y988" s="1037"/>
      <c r="Z988" s="1037"/>
      <c r="AA988" s="1037"/>
      <c r="AB988" s="1037"/>
      <c r="AC988" s="1037"/>
      <c r="AD988" s="1037"/>
      <c r="AE988" s="1037"/>
      <c r="AF988" s="1037"/>
      <c r="AG988" s="1037"/>
      <c r="AH988" s="1037"/>
      <c r="AI988" s="1037"/>
      <c r="AJ988" s="1037"/>
      <c r="AK988" s="1037"/>
      <c r="AL988" s="1037"/>
      <c r="AM988" s="1037"/>
      <c r="AN988" s="1037"/>
      <c r="AO988" s="1037"/>
      <c r="AP988" s="1037"/>
    </row>
    <row r="989" spans="1:42" s="226" customFormat="1">
      <c r="A989" s="2060"/>
      <c r="B989" s="1037"/>
      <c r="C989" s="1037"/>
      <c r="D989" s="1037"/>
      <c r="E989" s="1037"/>
      <c r="F989" s="1037"/>
      <c r="G989" s="1037"/>
      <c r="H989" s="1018"/>
      <c r="I989" s="1037"/>
      <c r="J989" s="1037"/>
      <c r="K989" s="1037"/>
      <c r="L989" s="1037"/>
      <c r="M989" s="1037"/>
      <c r="N989" s="1037"/>
      <c r="O989" s="1037"/>
      <c r="P989" s="1037"/>
      <c r="Q989" s="1037"/>
      <c r="R989" s="1037"/>
      <c r="S989" s="1037"/>
      <c r="T989" s="1037"/>
      <c r="U989" s="1037"/>
      <c r="V989" s="1037"/>
      <c r="W989" s="1037"/>
      <c r="X989" s="1037"/>
      <c r="Y989" s="1037"/>
      <c r="Z989" s="1037"/>
      <c r="AA989" s="1037"/>
      <c r="AB989" s="1037"/>
      <c r="AC989" s="1037"/>
      <c r="AD989" s="1037"/>
      <c r="AE989" s="1037"/>
      <c r="AF989" s="1037"/>
      <c r="AG989" s="1037"/>
      <c r="AH989" s="1037"/>
      <c r="AI989" s="1037"/>
      <c r="AJ989" s="1037"/>
      <c r="AK989" s="1037"/>
      <c r="AL989" s="1037"/>
      <c r="AM989" s="1037"/>
      <c r="AN989" s="1037"/>
      <c r="AO989" s="1037"/>
      <c r="AP989" s="1037"/>
    </row>
    <row r="990" spans="1:42" s="226" customFormat="1">
      <c r="A990" s="2060"/>
      <c r="B990" s="1037"/>
      <c r="C990" s="1037"/>
      <c r="D990" s="1037"/>
      <c r="E990" s="1037"/>
      <c r="F990" s="1037"/>
      <c r="G990" s="1037"/>
      <c r="H990" s="1018"/>
      <c r="I990" s="1037"/>
      <c r="J990" s="1037"/>
      <c r="K990" s="1037"/>
      <c r="L990" s="1037"/>
      <c r="M990" s="1037"/>
      <c r="N990" s="1037"/>
      <c r="O990" s="1037"/>
      <c r="P990" s="1037"/>
      <c r="Q990" s="1037"/>
      <c r="R990" s="1037"/>
      <c r="S990" s="1037"/>
      <c r="T990" s="1037"/>
      <c r="U990" s="1037"/>
      <c r="V990" s="1037"/>
      <c r="W990" s="1037"/>
      <c r="X990" s="1037"/>
      <c r="Y990" s="1037"/>
      <c r="Z990" s="1037"/>
      <c r="AA990" s="1037"/>
      <c r="AB990" s="1037"/>
      <c r="AC990" s="1037"/>
      <c r="AD990" s="1037"/>
      <c r="AE990" s="1037"/>
      <c r="AF990" s="1037"/>
      <c r="AG990" s="1037"/>
      <c r="AH990" s="1037"/>
      <c r="AI990" s="1037"/>
      <c r="AJ990" s="1037"/>
      <c r="AK990" s="1037"/>
      <c r="AL990" s="1037"/>
      <c r="AM990" s="1037"/>
      <c r="AN990" s="1037"/>
      <c r="AO990" s="1037"/>
      <c r="AP990" s="1037"/>
    </row>
    <row r="991" spans="1:42" s="226" customFormat="1">
      <c r="A991" s="2060"/>
      <c r="B991" s="1037"/>
      <c r="C991" s="1037"/>
      <c r="D991" s="1037"/>
      <c r="E991" s="1037"/>
      <c r="F991" s="1037"/>
      <c r="G991" s="1037"/>
      <c r="H991" s="1018"/>
      <c r="I991" s="1037"/>
      <c r="J991" s="1037"/>
      <c r="K991" s="1037"/>
      <c r="L991" s="1037"/>
      <c r="M991" s="1037"/>
      <c r="N991" s="1037"/>
      <c r="O991" s="1037"/>
      <c r="P991" s="1037"/>
      <c r="Q991" s="1037"/>
      <c r="R991" s="1037"/>
      <c r="S991" s="1037"/>
      <c r="T991" s="1037"/>
      <c r="U991" s="1037"/>
      <c r="V991" s="1037"/>
      <c r="W991" s="1037"/>
      <c r="X991" s="1037"/>
      <c r="Y991" s="1037"/>
      <c r="Z991" s="1037"/>
      <c r="AA991" s="1037"/>
      <c r="AB991" s="1037"/>
      <c r="AC991" s="1037"/>
      <c r="AD991" s="1037"/>
      <c r="AE991" s="1037"/>
      <c r="AF991" s="1037"/>
      <c r="AG991" s="1037"/>
      <c r="AH991" s="1037"/>
      <c r="AI991" s="1037"/>
      <c r="AJ991" s="1037"/>
      <c r="AK991" s="1037"/>
      <c r="AL991" s="1037"/>
      <c r="AM991" s="1037"/>
      <c r="AN991" s="1037"/>
      <c r="AO991" s="1037"/>
      <c r="AP991" s="1037"/>
    </row>
    <row r="992" spans="1:42" s="226" customFormat="1">
      <c r="A992" s="2060"/>
      <c r="B992" s="1037"/>
      <c r="C992" s="1037"/>
      <c r="D992" s="1037"/>
      <c r="E992" s="1037"/>
      <c r="F992" s="1037"/>
      <c r="G992" s="1037"/>
      <c r="H992" s="1018"/>
      <c r="I992" s="1037"/>
      <c r="J992" s="1037"/>
      <c r="K992" s="1037"/>
      <c r="L992" s="1037"/>
      <c r="M992" s="1037"/>
      <c r="N992" s="1037"/>
      <c r="O992" s="1037"/>
      <c r="P992" s="1037"/>
      <c r="Q992" s="1037"/>
      <c r="R992" s="1037"/>
      <c r="S992" s="1037"/>
      <c r="T992" s="1037"/>
      <c r="U992" s="1037"/>
      <c r="V992" s="1037"/>
      <c r="W992" s="1037"/>
      <c r="X992" s="1037"/>
      <c r="Y992" s="1037"/>
      <c r="Z992" s="1037"/>
      <c r="AA992" s="1037"/>
      <c r="AB992" s="1037"/>
      <c r="AC992" s="1037"/>
      <c r="AD992" s="1037"/>
      <c r="AE992" s="1037"/>
      <c r="AF992" s="1037"/>
      <c r="AG992" s="1037"/>
      <c r="AH992" s="1037"/>
      <c r="AI992" s="1037"/>
      <c r="AJ992" s="1037"/>
      <c r="AK992" s="1037"/>
      <c r="AL992" s="1037"/>
      <c r="AM992" s="1037"/>
      <c r="AN992" s="1037"/>
      <c r="AO992" s="1037"/>
      <c r="AP992" s="1037"/>
    </row>
    <row r="993" spans="1:42" s="226" customFormat="1">
      <c r="A993" s="2060"/>
      <c r="B993" s="1037"/>
      <c r="C993" s="1037"/>
      <c r="D993" s="1037"/>
      <c r="E993" s="1037"/>
      <c r="F993" s="1037"/>
      <c r="G993" s="1037"/>
      <c r="H993" s="1018"/>
      <c r="I993" s="1037"/>
      <c r="J993" s="1037"/>
      <c r="K993" s="1037"/>
      <c r="L993" s="1037"/>
      <c r="M993" s="1037"/>
      <c r="N993" s="1037"/>
      <c r="O993" s="1037"/>
      <c r="P993" s="1037"/>
      <c r="Q993" s="1037"/>
      <c r="R993" s="1037"/>
      <c r="S993" s="1037"/>
      <c r="T993" s="1037"/>
      <c r="U993" s="1037"/>
      <c r="V993" s="1037"/>
      <c r="W993" s="1037"/>
      <c r="X993" s="1037"/>
      <c r="Y993" s="1037"/>
      <c r="Z993" s="1037"/>
      <c r="AA993" s="1037"/>
      <c r="AB993" s="1037"/>
      <c r="AC993" s="1037"/>
      <c r="AD993" s="1037"/>
      <c r="AE993" s="1037"/>
      <c r="AF993" s="1037"/>
      <c r="AG993" s="1037"/>
      <c r="AH993" s="1037"/>
      <c r="AI993" s="1037"/>
      <c r="AJ993" s="1037"/>
      <c r="AK993" s="1037"/>
      <c r="AL993" s="1037"/>
      <c r="AM993" s="1037"/>
      <c r="AN993" s="1037"/>
      <c r="AO993" s="1037"/>
      <c r="AP993" s="1037"/>
    </row>
    <row r="994" spans="1:42" s="226" customFormat="1">
      <c r="A994" s="2060"/>
      <c r="B994" s="1037"/>
      <c r="C994" s="1037"/>
      <c r="D994" s="1037"/>
      <c r="E994" s="1037"/>
      <c r="F994" s="1037"/>
      <c r="G994" s="1037"/>
      <c r="H994" s="1018"/>
      <c r="I994" s="1037"/>
      <c r="J994" s="1037"/>
      <c r="K994" s="1037"/>
      <c r="L994" s="1037"/>
      <c r="M994" s="1037"/>
      <c r="N994" s="1037"/>
      <c r="O994" s="1037"/>
      <c r="P994" s="1037"/>
      <c r="Q994" s="1037"/>
      <c r="R994" s="1037"/>
      <c r="S994" s="1037"/>
      <c r="T994" s="1037"/>
      <c r="U994" s="1037"/>
      <c r="V994" s="1037"/>
      <c r="W994" s="1037"/>
      <c r="X994" s="1037"/>
      <c r="Y994" s="1037"/>
      <c r="Z994" s="1037"/>
      <c r="AA994" s="1037"/>
      <c r="AB994" s="1037"/>
      <c r="AC994" s="1037"/>
      <c r="AD994" s="1037"/>
      <c r="AE994" s="1037"/>
      <c r="AF994" s="1037"/>
      <c r="AG994" s="1037"/>
      <c r="AH994" s="1037"/>
      <c r="AI994" s="1037"/>
      <c r="AJ994" s="1037"/>
      <c r="AK994" s="1037"/>
      <c r="AL994" s="1037"/>
      <c r="AM994" s="1037"/>
      <c r="AN994" s="1037"/>
      <c r="AO994" s="1037"/>
      <c r="AP994" s="1037"/>
    </row>
    <row r="995" spans="1:42" s="226" customFormat="1">
      <c r="A995" s="2060"/>
      <c r="B995" s="1037"/>
      <c r="C995" s="1037"/>
      <c r="D995" s="1037"/>
      <c r="E995" s="1037"/>
      <c r="F995" s="1037"/>
      <c r="G995" s="1037"/>
      <c r="H995" s="1018"/>
      <c r="I995" s="1037"/>
      <c r="J995" s="1037"/>
      <c r="K995" s="1037"/>
      <c r="L995" s="1037"/>
      <c r="M995" s="1037"/>
      <c r="N995" s="1037"/>
      <c r="O995" s="1037"/>
      <c r="P995" s="1037"/>
      <c r="Q995" s="1037"/>
      <c r="R995" s="1037"/>
      <c r="S995" s="1037"/>
      <c r="T995" s="1037"/>
      <c r="U995" s="1037"/>
      <c r="V995" s="1037"/>
      <c r="W995" s="1037"/>
      <c r="X995" s="1037"/>
      <c r="Y995" s="1037"/>
      <c r="Z995" s="1037"/>
      <c r="AA995" s="1037"/>
      <c r="AB995" s="1037"/>
      <c r="AC995" s="1037"/>
      <c r="AD995" s="1037"/>
      <c r="AE995" s="1037"/>
      <c r="AF995" s="1037"/>
      <c r="AG995" s="1037"/>
      <c r="AH995" s="1037"/>
      <c r="AI995" s="1037"/>
      <c r="AJ995" s="1037"/>
      <c r="AK995" s="1037"/>
      <c r="AL995" s="1037"/>
      <c r="AM995" s="1037"/>
      <c r="AN995" s="1037"/>
      <c r="AO995" s="1037"/>
      <c r="AP995" s="1037"/>
    </row>
    <row r="996" spans="1:42" s="226" customFormat="1">
      <c r="A996" s="2060"/>
      <c r="B996" s="1037"/>
      <c r="C996" s="1037"/>
      <c r="D996" s="1037"/>
      <c r="E996" s="1037"/>
      <c r="F996" s="1037"/>
      <c r="G996" s="1037"/>
      <c r="H996" s="1018"/>
      <c r="I996" s="1037"/>
      <c r="J996" s="1037"/>
      <c r="K996" s="1037"/>
      <c r="L996" s="1037"/>
      <c r="M996" s="1037"/>
      <c r="N996" s="1037"/>
      <c r="O996" s="1037"/>
      <c r="P996" s="1037"/>
      <c r="Q996" s="1037"/>
      <c r="R996" s="1037"/>
      <c r="S996" s="1037"/>
      <c r="T996" s="1037"/>
      <c r="U996" s="1037"/>
      <c r="V996" s="1037"/>
      <c r="W996" s="1037"/>
      <c r="X996" s="1037"/>
      <c r="Y996" s="1037"/>
      <c r="Z996" s="1037"/>
      <c r="AA996" s="1037"/>
      <c r="AB996" s="1037"/>
      <c r="AC996" s="1037"/>
      <c r="AD996" s="1037"/>
      <c r="AE996" s="1037"/>
      <c r="AF996" s="1037"/>
      <c r="AG996" s="1037"/>
      <c r="AH996" s="1037"/>
      <c r="AI996" s="1037"/>
      <c r="AJ996" s="1037"/>
      <c r="AK996" s="1037"/>
      <c r="AL996" s="1037"/>
      <c r="AM996" s="1037"/>
      <c r="AN996" s="1037"/>
      <c r="AO996" s="1037"/>
      <c r="AP996" s="1037"/>
    </row>
    <row r="997" spans="1:42" s="226" customFormat="1">
      <c r="A997" s="2060"/>
      <c r="B997" s="1037"/>
      <c r="C997" s="1037"/>
      <c r="D997" s="1037"/>
      <c r="E997" s="1037"/>
      <c r="F997" s="1037"/>
      <c r="G997" s="1037"/>
      <c r="H997" s="1018"/>
      <c r="I997" s="1037"/>
      <c r="J997" s="1037"/>
      <c r="K997" s="1037"/>
      <c r="L997" s="1037"/>
      <c r="M997" s="1037"/>
      <c r="N997" s="1037"/>
      <c r="O997" s="1037"/>
      <c r="P997" s="1037"/>
      <c r="Q997" s="1037"/>
      <c r="R997" s="1037"/>
      <c r="S997" s="1037"/>
      <c r="T997" s="1037"/>
      <c r="U997" s="1037"/>
      <c r="V997" s="1037"/>
      <c r="W997" s="1037"/>
      <c r="X997" s="1037"/>
      <c r="Y997" s="1037"/>
      <c r="Z997" s="1037"/>
      <c r="AA997" s="1037"/>
      <c r="AB997" s="1037"/>
      <c r="AC997" s="1037"/>
      <c r="AD997" s="1037"/>
      <c r="AE997" s="1037"/>
      <c r="AF997" s="1037"/>
      <c r="AG997" s="1037"/>
      <c r="AH997" s="1037"/>
      <c r="AI997" s="1037"/>
      <c r="AJ997" s="1037"/>
      <c r="AK997" s="1037"/>
      <c r="AL997" s="1037"/>
      <c r="AM997" s="1037"/>
      <c r="AN997" s="1037"/>
      <c r="AO997" s="1037"/>
      <c r="AP997" s="1037"/>
    </row>
    <row r="998" spans="1:42" s="226" customFormat="1">
      <c r="A998" s="2060"/>
      <c r="B998" s="1037"/>
      <c r="C998" s="1037"/>
      <c r="D998" s="1037"/>
      <c r="E998" s="1037"/>
      <c r="F998" s="1037"/>
      <c r="G998" s="1037"/>
      <c r="H998" s="1018"/>
      <c r="I998" s="1037"/>
      <c r="J998" s="1037"/>
      <c r="K998" s="1037"/>
      <c r="L998" s="1037"/>
      <c r="M998" s="1037"/>
      <c r="N998" s="1037"/>
      <c r="O998" s="1037"/>
      <c r="P998" s="1037"/>
      <c r="Q998" s="1037"/>
      <c r="R998" s="1037"/>
      <c r="S998" s="1037"/>
      <c r="T998" s="1037"/>
      <c r="U998" s="1037"/>
      <c r="V998" s="1037"/>
      <c r="W998" s="1037"/>
      <c r="X998" s="1037"/>
      <c r="Y998" s="1037"/>
      <c r="Z998" s="1037"/>
      <c r="AA998" s="1037"/>
      <c r="AB998" s="1037"/>
      <c r="AC998" s="1037"/>
      <c r="AD998" s="1037"/>
      <c r="AE998" s="1037"/>
      <c r="AF998" s="1037"/>
      <c r="AG998" s="1037"/>
      <c r="AH998" s="1037"/>
      <c r="AI998" s="1037"/>
      <c r="AJ998" s="1037"/>
      <c r="AK998" s="1037"/>
      <c r="AL998" s="1037"/>
      <c r="AM998" s="1037"/>
      <c r="AN998" s="1037"/>
      <c r="AO998" s="1037"/>
      <c r="AP998" s="1037"/>
    </row>
    <row r="999" spans="1:42" s="226" customFormat="1">
      <c r="A999" s="2060"/>
      <c r="B999" s="1037"/>
      <c r="C999" s="1037"/>
      <c r="D999" s="1037"/>
      <c r="E999" s="1037"/>
      <c r="F999" s="1037"/>
      <c r="G999" s="1037"/>
      <c r="H999" s="1018"/>
      <c r="I999" s="1037"/>
      <c r="J999" s="1037"/>
      <c r="K999" s="1037"/>
      <c r="L999" s="1037"/>
      <c r="M999" s="1037"/>
      <c r="N999" s="1037"/>
      <c r="O999" s="1037"/>
      <c r="P999" s="1037"/>
      <c r="Q999" s="1037"/>
      <c r="R999" s="1037"/>
      <c r="S999" s="1037"/>
      <c r="T999" s="1037"/>
      <c r="U999" s="1037"/>
      <c r="V999" s="1037"/>
      <c r="W999" s="1037"/>
      <c r="X999" s="1037"/>
      <c r="Y999" s="1037"/>
      <c r="Z999" s="1037"/>
      <c r="AA999" s="1037"/>
      <c r="AB999" s="1037"/>
      <c r="AC999" s="1037"/>
      <c r="AD999" s="1037"/>
      <c r="AE999" s="1037"/>
      <c r="AF999" s="1037"/>
      <c r="AG999" s="1037"/>
      <c r="AH999" s="1037"/>
      <c r="AI999" s="1037"/>
      <c r="AJ999" s="1037"/>
      <c r="AK999" s="1037"/>
      <c r="AL999" s="1037"/>
      <c r="AM999" s="1037"/>
      <c r="AN999" s="1037"/>
      <c r="AO999" s="1037"/>
      <c r="AP999" s="1037"/>
    </row>
    <row r="1000" spans="1:42" s="226" customFormat="1">
      <c r="A1000" s="2060"/>
      <c r="B1000" s="1037"/>
      <c r="C1000" s="1037"/>
      <c r="D1000" s="1037"/>
      <c r="E1000" s="1037"/>
      <c r="F1000" s="1037"/>
      <c r="G1000" s="1037"/>
      <c r="H1000" s="1018"/>
      <c r="I1000" s="1037"/>
      <c r="J1000" s="1037"/>
      <c r="K1000" s="1037"/>
      <c r="L1000" s="1037"/>
      <c r="M1000" s="1037"/>
      <c r="N1000" s="1037"/>
      <c r="O1000" s="1037"/>
      <c r="P1000" s="1037"/>
      <c r="Q1000" s="1037"/>
      <c r="R1000" s="1037"/>
      <c r="S1000" s="1037"/>
      <c r="T1000" s="1037"/>
      <c r="U1000" s="1037"/>
      <c r="V1000" s="1037"/>
      <c r="W1000" s="1037"/>
      <c r="X1000" s="1037"/>
      <c r="Y1000" s="1037"/>
      <c r="Z1000" s="1037"/>
      <c r="AA1000" s="1037"/>
      <c r="AB1000" s="1037"/>
      <c r="AC1000" s="1037"/>
      <c r="AD1000" s="1037"/>
      <c r="AE1000" s="1037"/>
      <c r="AF1000" s="1037"/>
      <c r="AG1000" s="1037"/>
      <c r="AH1000" s="1037"/>
      <c r="AI1000" s="1037"/>
      <c r="AJ1000" s="1037"/>
      <c r="AK1000" s="1037"/>
      <c r="AL1000" s="1037"/>
      <c r="AM1000" s="1037"/>
      <c r="AN1000" s="1037"/>
      <c r="AO1000" s="1037"/>
      <c r="AP1000" s="1037"/>
    </row>
    <row r="1001" spans="1:42" s="226" customFormat="1">
      <c r="A1001" s="2060"/>
      <c r="B1001" s="1037"/>
      <c r="C1001" s="1037"/>
      <c r="D1001" s="1037"/>
      <c r="E1001" s="1037"/>
      <c r="F1001" s="1037"/>
      <c r="G1001" s="1037"/>
      <c r="H1001" s="1018"/>
      <c r="I1001" s="1037"/>
      <c r="J1001" s="1037"/>
      <c r="K1001" s="1037"/>
      <c r="L1001" s="1037"/>
      <c r="M1001" s="1037"/>
      <c r="N1001" s="1037"/>
      <c r="O1001" s="1037"/>
      <c r="P1001" s="1037"/>
      <c r="Q1001" s="1037"/>
      <c r="R1001" s="1037"/>
      <c r="S1001" s="1037"/>
      <c r="T1001" s="1037"/>
      <c r="U1001" s="1037"/>
      <c r="V1001" s="1037"/>
      <c r="W1001" s="1037"/>
      <c r="X1001" s="1037"/>
      <c r="Y1001" s="1037"/>
      <c r="Z1001" s="1037"/>
      <c r="AA1001" s="1037"/>
      <c r="AB1001" s="1037"/>
      <c r="AC1001" s="1037"/>
      <c r="AD1001" s="1037"/>
      <c r="AE1001" s="1037"/>
      <c r="AF1001" s="1037"/>
      <c r="AG1001" s="1037"/>
      <c r="AH1001" s="1037"/>
      <c r="AI1001" s="1037"/>
      <c r="AJ1001" s="1037"/>
      <c r="AK1001" s="1037"/>
      <c r="AL1001" s="1037"/>
      <c r="AM1001" s="1037"/>
      <c r="AN1001" s="1037"/>
      <c r="AO1001" s="1037"/>
      <c r="AP1001" s="1037"/>
    </row>
    <row r="1002" spans="1:42" s="226" customFormat="1">
      <c r="A1002" s="2060"/>
      <c r="B1002" s="1037"/>
      <c r="C1002" s="1037"/>
      <c r="D1002" s="1037"/>
      <c r="E1002" s="1037"/>
      <c r="F1002" s="1037"/>
      <c r="G1002" s="1037"/>
      <c r="H1002" s="1018"/>
      <c r="I1002" s="1037"/>
      <c r="J1002" s="1037"/>
      <c r="K1002" s="1037"/>
      <c r="L1002" s="1037"/>
      <c r="M1002" s="1037"/>
      <c r="N1002" s="1037"/>
      <c r="O1002" s="1037"/>
      <c r="P1002" s="1037"/>
      <c r="Q1002" s="1037"/>
      <c r="R1002" s="1037"/>
      <c r="S1002" s="1037"/>
      <c r="T1002" s="1037"/>
      <c r="U1002" s="1037"/>
      <c r="V1002" s="1037"/>
      <c r="W1002" s="1037"/>
      <c r="X1002" s="1037"/>
      <c r="Y1002" s="1037"/>
      <c r="Z1002" s="1037"/>
      <c r="AA1002" s="1037"/>
      <c r="AB1002" s="1037"/>
      <c r="AC1002" s="1037"/>
      <c r="AD1002" s="1037"/>
      <c r="AE1002" s="1037"/>
      <c r="AF1002" s="1037"/>
      <c r="AG1002" s="1037"/>
      <c r="AH1002" s="1037"/>
      <c r="AI1002" s="1037"/>
      <c r="AJ1002" s="1037"/>
      <c r="AK1002" s="1037"/>
      <c r="AL1002" s="1037"/>
      <c r="AM1002" s="1037"/>
      <c r="AN1002" s="1037"/>
      <c r="AO1002" s="1037"/>
      <c r="AP1002" s="1037"/>
    </row>
    <row r="1003" spans="1:42" s="226" customFormat="1">
      <c r="A1003" s="2060"/>
      <c r="B1003" s="1037"/>
      <c r="C1003" s="1037"/>
      <c r="D1003" s="1037"/>
      <c r="E1003" s="1037"/>
      <c r="F1003" s="1037"/>
      <c r="G1003" s="1037"/>
      <c r="H1003" s="1018"/>
      <c r="I1003" s="1037"/>
      <c r="J1003" s="1037"/>
      <c r="K1003" s="1037"/>
      <c r="L1003" s="1037"/>
      <c r="M1003" s="1037"/>
      <c r="N1003" s="1037"/>
      <c r="O1003" s="1037"/>
      <c r="P1003" s="1037"/>
      <c r="Q1003" s="1037"/>
      <c r="R1003" s="1037"/>
      <c r="S1003" s="1037"/>
      <c r="T1003" s="1037"/>
      <c r="U1003" s="1037"/>
      <c r="V1003" s="1037"/>
      <c r="W1003" s="1037"/>
      <c r="X1003" s="1037"/>
      <c r="Y1003" s="1037"/>
      <c r="Z1003" s="1037"/>
      <c r="AA1003" s="1037"/>
      <c r="AB1003" s="1037"/>
      <c r="AC1003" s="1037"/>
      <c r="AD1003" s="1037"/>
      <c r="AE1003" s="1037"/>
      <c r="AF1003" s="1037"/>
      <c r="AG1003" s="1037"/>
      <c r="AH1003" s="1037"/>
      <c r="AI1003" s="1037"/>
      <c r="AJ1003" s="1037"/>
      <c r="AK1003" s="1037"/>
      <c r="AL1003" s="1037"/>
      <c r="AM1003" s="1037"/>
      <c r="AN1003" s="1037"/>
      <c r="AO1003" s="1037"/>
      <c r="AP1003" s="1037"/>
    </row>
    <row r="1004" spans="1:42" s="226" customFormat="1">
      <c r="A1004" s="2060"/>
      <c r="B1004" s="1037"/>
      <c r="C1004" s="1037"/>
      <c r="D1004" s="1037"/>
      <c r="E1004" s="1037"/>
      <c r="F1004" s="1037"/>
      <c r="G1004" s="1037"/>
      <c r="H1004" s="1018"/>
      <c r="I1004" s="1037"/>
      <c r="J1004" s="1037"/>
      <c r="K1004" s="1037"/>
      <c r="L1004" s="1037"/>
      <c r="M1004" s="1037"/>
      <c r="N1004" s="1037"/>
      <c r="O1004" s="1037"/>
      <c r="P1004" s="1037"/>
      <c r="Q1004" s="1037"/>
      <c r="R1004" s="1037"/>
      <c r="S1004" s="1037"/>
      <c r="T1004" s="1037"/>
      <c r="U1004" s="1037"/>
      <c r="V1004" s="1037"/>
      <c r="W1004" s="1037"/>
      <c r="X1004" s="1037"/>
      <c r="Y1004" s="1037"/>
      <c r="Z1004" s="1037"/>
      <c r="AA1004" s="1037"/>
      <c r="AB1004" s="1037"/>
      <c r="AC1004" s="1037"/>
      <c r="AD1004" s="1037"/>
      <c r="AE1004" s="1037"/>
      <c r="AF1004" s="1037"/>
      <c r="AG1004" s="1037"/>
      <c r="AH1004" s="1037"/>
      <c r="AI1004" s="1037"/>
      <c r="AJ1004" s="1037"/>
      <c r="AK1004" s="1037"/>
      <c r="AL1004" s="1037"/>
      <c r="AM1004" s="1037"/>
      <c r="AN1004" s="1037"/>
      <c r="AO1004" s="1037"/>
      <c r="AP1004" s="1037"/>
    </row>
    <row r="1005" spans="1:42" s="226" customFormat="1">
      <c r="A1005" s="2060"/>
      <c r="B1005" s="1037"/>
      <c r="C1005" s="1037"/>
      <c r="D1005" s="1037"/>
      <c r="E1005" s="1037"/>
      <c r="F1005" s="1037"/>
      <c r="G1005" s="1037"/>
      <c r="H1005" s="1018"/>
      <c r="I1005" s="1037"/>
      <c r="J1005" s="1037"/>
      <c r="K1005" s="1037"/>
      <c r="L1005" s="1037"/>
      <c r="M1005" s="1037"/>
      <c r="N1005" s="1037"/>
      <c r="O1005" s="1037"/>
      <c r="P1005" s="1037"/>
      <c r="Q1005" s="1037"/>
      <c r="R1005" s="1037"/>
      <c r="S1005" s="1037"/>
      <c r="T1005" s="1037"/>
      <c r="U1005" s="1037"/>
      <c r="V1005" s="1037"/>
      <c r="W1005" s="1037"/>
      <c r="X1005" s="1037"/>
      <c r="Y1005" s="1037"/>
      <c r="Z1005" s="1037"/>
      <c r="AA1005" s="1037"/>
      <c r="AB1005" s="1037"/>
      <c r="AC1005" s="1037"/>
      <c r="AD1005" s="1037"/>
      <c r="AE1005" s="1037"/>
      <c r="AF1005" s="1037"/>
      <c r="AG1005" s="1037"/>
      <c r="AH1005" s="1037"/>
      <c r="AI1005" s="1037"/>
      <c r="AJ1005" s="1037"/>
      <c r="AK1005" s="1037"/>
      <c r="AL1005" s="1037"/>
      <c r="AM1005" s="1037"/>
      <c r="AN1005" s="1037"/>
      <c r="AO1005" s="1037"/>
      <c r="AP1005" s="1037"/>
    </row>
    <row r="1006" spans="1:42" s="226" customFormat="1">
      <c r="A1006" s="2060"/>
      <c r="B1006" s="1037"/>
      <c r="C1006" s="1037"/>
      <c r="D1006" s="1037"/>
      <c r="E1006" s="1037"/>
      <c r="F1006" s="1037"/>
      <c r="G1006" s="1037"/>
      <c r="H1006" s="1018"/>
      <c r="I1006" s="1037"/>
      <c r="J1006" s="1037"/>
      <c r="K1006" s="1037"/>
      <c r="L1006" s="1037"/>
      <c r="M1006" s="1037"/>
      <c r="N1006" s="1037"/>
      <c r="O1006" s="1037"/>
      <c r="P1006" s="1037"/>
      <c r="Q1006" s="1037"/>
      <c r="R1006" s="1037"/>
      <c r="S1006" s="1037"/>
      <c r="T1006" s="1037"/>
      <c r="U1006" s="1037"/>
      <c r="V1006" s="1037"/>
      <c r="W1006" s="1037"/>
      <c r="X1006" s="1037"/>
      <c r="Y1006" s="1037"/>
      <c r="Z1006" s="1037"/>
      <c r="AA1006" s="1037"/>
      <c r="AB1006" s="1037"/>
      <c r="AC1006" s="1037"/>
      <c r="AD1006" s="1037"/>
      <c r="AE1006" s="1037"/>
      <c r="AF1006" s="1037"/>
      <c r="AG1006" s="1037"/>
      <c r="AH1006" s="1037"/>
      <c r="AI1006" s="1037"/>
      <c r="AJ1006" s="1037"/>
      <c r="AK1006" s="1037"/>
      <c r="AL1006" s="1037"/>
      <c r="AM1006" s="1037"/>
      <c r="AN1006" s="1037"/>
      <c r="AO1006" s="1037"/>
      <c r="AP1006" s="1037"/>
    </row>
    <row r="1007" spans="1:42" s="226" customFormat="1">
      <c r="A1007" s="2060"/>
      <c r="B1007" s="1037"/>
      <c r="C1007" s="1037"/>
      <c r="D1007" s="1037"/>
      <c r="E1007" s="1037"/>
      <c r="F1007" s="1037"/>
      <c r="G1007" s="1037"/>
      <c r="H1007" s="1018"/>
      <c r="I1007" s="1037"/>
      <c r="J1007" s="1037"/>
      <c r="K1007" s="1037"/>
      <c r="L1007" s="1037"/>
      <c r="M1007" s="1037"/>
      <c r="N1007" s="1037"/>
      <c r="O1007" s="1037"/>
      <c r="P1007" s="1037"/>
      <c r="Q1007" s="1037"/>
      <c r="R1007" s="1037"/>
      <c r="S1007" s="1037"/>
      <c r="T1007" s="1037"/>
      <c r="U1007" s="1037"/>
      <c r="V1007" s="1037"/>
      <c r="W1007" s="1037"/>
      <c r="X1007" s="1037"/>
      <c r="Y1007" s="1037"/>
      <c r="Z1007" s="1037"/>
      <c r="AA1007" s="1037"/>
      <c r="AB1007" s="1037"/>
      <c r="AC1007" s="1037"/>
      <c r="AD1007" s="1037"/>
      <c r="AE1007" s="1037"/>
      <c r="AF1007" s="1037"/>
      <c r="AG1007" s="1037"/>
      <c r="AH1007" s="1037"/>
      <c r="AI1007" s="1037"/>
      <c r="AJ1007" s="1037"/>
      <c r="AK1007" s="1037"/>
      <c r="AL1007" s="1037"/>
      <c r="AM1007" s="1037"/>
      <c r="AN1007" s="1037"/>
      <c r="AO1007" s="1037"/>
      <c r="AP1007" s="1037"/>
    </row>
    <row r="1008" spans="1:42" s="226" customFormat="1">
      <c r="A1008" s="2060"/>
      <c r="B1008" s="1037"/>
      <c r="C1008" s="1037"/>
      <c r="D1008" s="1037"/>
      <c r="E1008" s="1037"/>
      <c r="F1008" s="1037"/>
      <c r="G1008" s="1037"/>
      <c r="H1008" s="1018"/>
      <c r="I1008" s="1037"/>
      <c r="J1008" s="1037"/>
      <c r="K1008" s="1037"/>
      <c r="L1008" s="1037"/>
      <c r="M1008" s="1037"/>
      <c r="N1008" s="1037"/>
      <c r="O1008" s="1037"/>
      <c r="P1008" s="1037"/>
      <c r="Q1008" s="1037"/>
      <c r="R1008" s="1037"/>
      <c r="S1008" s="1037"/>
      <c r="T1008" s="1037"/>
      <c r="U1008" s="1037"/>
      <c r="V1008" s="1037"/>
      <c r="W1008" s="1037"/>
      <c r="X1008" s="1037"/>
      <c r="Y1008" s="1037"/>
      <c r="Z1008" s="1037"/>
      <c r="AA1008" s="1037"/>
      <c r="AB1008" s="1037"/>
      <c r="AC1008" s="1037"/>
      <c r="AD1008" s="1037"/>
      <c r="AE1008" s="1037"/>
      <c r="AF1008" s="1037"/>
      <c r="AG1008" s="1037"/>
      <c r="AH1008" s="1037"/>
      <c r="AI1008" s="1037"/>
      <c r="AJ1008" s="1037"/>
      <c r="AK1008" s="1037"/>
      <c r="AL1008" s="1037"/>
      <c r="AM1008" s="1037"/>
      <c r="AN1008" s="1037"/>
      <c r="AO1008" s="1037"/>
      <c r="AP1008" s="1037"/>
    </row>
    <row r="1009" spans="1:42" s="226" customFormat="1">
      <c r="A1009" s="2060"/>
      <c r="B1009" s="1037"/>
      <c r="C1009" s="1037"/>
      <c r="D1009" s="1037"/>
      <c r="E1009" s="1037"/>
      <c r="F1009" s="1037"/>
      <c r="G1009" s="1037"/>
      <c r="H1009" s="1018"/>
      <c r="I1009" s="1037"/>
      <c r="J1009" s="1037"/>
      <c r="K1009" s="1037"/>
      <c r="L1009" s="1037"/>
      <c r="M1009" s="1037"/>
      <c r="N1009" s="1037"/>
      <c r="O1009" s="1037"/>
      <c r="P1009" s="1037"/>
      <c r="Q1009" s="1037"/>
      <c r="R1009" s="1037"/>
      <c r="S1009" s="1037"/>
      <c r="T1009" s="1037"/>
      <c r="U1009" s="1037"/>
      <c r="V1009" s="1037"/>
      <c r="W1009" s="1037"/>
      <c r="X1009" s="1037"/>
      <c r="Y1009" s="1037"/>
      <c r="Z1009" s="1037"/>
      <c r="AA1009" s="1037"/>
      <c r="AB1009" s="1037"/>
      <c r="AC1009" s="1037"/>
      <c r="AD1009" s="1037"/>
      <c r="AE1009" s="1037"/>
      <c r="AF1009" s="1037"/>
      <c r="AG1009" s="1037"/>
      <c r="AH1009" s="1037"/>
      <c r="AI1009" s="1037"/>
      <c r="AJ1009" s="1037"/>
      <c r="AK1009" s="1037"/>
      <c r="AL1009" s="1037"/>
      <c r="AM1009" s="1037"/>
      <c r="AN1009" s="1037"/>
      <c r="AO1009" s="1037"/>
      <c r="AP1009" s="1037"/>
    </row>
    <row r="1010" spans="1:42" s="226" customFormat="1">
      <c r="A1010" s="2060"/>
      <c r="B1010" s="1037"/>
      <c r="C1010" s="1037"/>
      <c r="D1010" s="1037"/>
      <c r="E1010" s="1037"/>
      <c r="F1010" s="1037"/>
      <c r="G1010" s="1037"/>
      <c r="H1010" s="1018"/>
      <c r="I1010" s="1037"/>
      <c r="J1010" s="1037"/>
      <c r="K1010" s="1037"/>
      <c r="L1010" s="1037"/>
      <c r="M1010" s="1037"/>
      <c r="N1010" s="1037"/>
      <c r="O1010" s="1037"/>
      <c r="P1010" s="1037"/>
      <c r="Q1010" s="1037"/>
      <c r="R1010" s="1037"/>
      <c r="S1010" s="1037"/>
      <c r="T1010" s="1037"/>
      <c r="U1010" s="1037"/>
      <c r="V1010" s="1037"/>
      <c r="W1010" s="1037"/>
      <c r="X1010" s="1037"/>
      <c r="Y1010" s="1037"/>
      <c r="Z1010" s="1037"/>
      <c r="AA1010" s="1037"/>
      <c r="AB1010" s="1037"/>
      <c r="AC1010" s="1037"/>
      <c r="AD1010" s="1037"/>
      <c r="AE1010" s="1037"/>
      <c r="AF1010" s="1037"/>
      <c r="AG1010" s="1037"/>
      <c r="AH1010" s="1037"/>
      <c r="AI1010" s="1037"/>
      <c r="AJ1010" s="1037"/>
      <c r="AK1010" s="1037"/>
      <c r="AL1010" s="1037"/>
      <c r="AM1010" s="1037"/>
      <c r="AN1010" s="1037"/>
      <c r="AO1010" s="1037"/>
      <c r="AP1010" s="1037"/>
    </row>
    <row r="1011" spans="1:42" s="226" customFormat="1">
      <c r="A1011" s="2060"/>
      <c r="B1011" s="1037"/>
      <c r="C1011" s="1037"/>
      <c r="D1011" s="1037"/>
      <c r="E1011" s="1037"/>
      <c r="F1011" s="1037"/>
      <c r="G1011" s="1037"/>
      <c r="H1011" s="1018"/>
      <c r="I1011" s="1037"/>
      <c r="J1011" s="1037"/>
      <c r="K1011" s="1037"/>
      <c r="L1011" s="1037"/>
      <c r="M1011" s="1037"/>
      <c r="N1011" s="1037"/>
      <c r="O1011" s="1037"/>
      <c r="P1011" s="1037"/>
      <c r="Q1011" s="1037"/>
      <c r="R1011" s="1037"/>
      <c r="S1011" s="1037"/>
      <c r="T1011" s="1037"/>
      <c r="U1011" s="1037"/>
      <c r="V1011" s="1037"/>
      <c r="W1011" s="1037"/>
      <c r="X1011" s="1037"/>
      <c r="Y1011" s="1037"/>
      <c r="Z1011" s="1037"/>
      <c r="AA1011" s="1037"/>
      <c r="AB1011" s="1037"/>
      <c r="AC1011" s="1037"/>
      <c r="AD1011" s="1037"/>
      <c r="AE1011" s="1037"/>
      <c r="AF1011" s="1037"/>
      <c r="AG1011" s="1037"/>
      <c r="AH1011" s="1037"/>
      <c r="AI1011" s="1037"/>
      <c r="AJ1011" s="1037"/>
      <c r="AK1011" s="1037"/>
      <c r="AL1011" s="1037"/>
      <c r="AM1011" s="1037"/>
      <c r="AN1011" s="1037"/>
      <c r="AO1011" s="1037"/>
      <c r="AP1011" s="1037"/>
    </row>
    <row r="1012" spans="1:42" s="226" customFormat="1">
      <c r="A1012" s="2060"/>
      <c r="B1012" s="1037"/>
      <c r="C1012" s="1037"/>
      <c r="D1012" s="1037"/>
      <c r="E1012" s="1037"/>
      <c r="F1012" s="1037"/>
      <c r="G1012" s="1037"/>
      <c r="H1012" s="1018"/>
      <c r="I1012" s="1037"/>
      <c r="J1012" s="1037"/>
      <c r="K1012" s="1037"/>
      <c r="L1012" s="1037"/>
      <c r="M1012" s="1037"/>
      <c r="N1012" s="1037"/>
      <c r="O1012" s="1037"/>
      <c r="P1012" s="1037"/>
      <c r="Q1012" s="1037"/>
      <c r="R1012" s="1037"/>
      <c r="S1012" s="1037"/>
      <c r="T1012" s="1037"/>
      <c r="U1012" s="1037"/>
      <c r="V1012" s="1037"/>
      <c r="W1012" s="1037"/>
      <c r="X1012" s="1037"/>
      <c r="Y1012" s="1037"/>
      <c r="Z1012" s="1037"/>
      <c r="AA1012" s="1037"/>
      <c r="AB1012" s="1037"/>
      <c r="AC1012" s="1037"/>
      <c r="AD1012" s="1037"/>
      <c r="AE1012" s="1037"/>
      <c r="AF1012" s="1037"/>
      <c r="AG1012" s="1037"/>
      <c r="AH1012" s="1037"/>
      <c r="AI1012" s="1037"/>
      <c r="AJ1012" s="1037"/>
      <c r="AK1012" s="1037"/>
      <c r="AL1012" s="1037"/>
      <c r="AM1012" s="1037"/>
      <c r="AN1012" s="1037"/>
      <c r="AO1012" s="1037"/>
      <c r="AP1012" s="1037"/>
    </row>
    <row r="1013" spans="1:42" s="226" customFormat="1">
      <c r="A1013" s="2060"/>
      <c r="B1013" s="1037"/>
      <c r="C1013" s="1037"/>
      <c r="D1013" s="1037"/>
      <c r="E1013" s="1037"/>
      <c r="F1013" s="1037"/>
      <c r="G1013" s="1037"/>
      <c r="H1013" s="1018"/>
      <c r="I1013" s="1037"/>
      <c r="J1013" s="1037"/>
      <c r="K1013" s="1037"/>
      <c r="L1013" s="1037"/>
      <c r="M1013" s="1037"/>
      <c r="N1013" s="1037"/>
      <c r="O1013" s="1037"/>
      <c r="P1013" s="1037"/>
      <c r="Q1013" s="1037"/>
      <c r="R1013" s="1037"/>
      <c r="S1013" s="1037"/>
      <c r="T1013" s="1037"/>
      <c r="U1013" s="1037"/>
      <c r="V1013" s="1037"/>
      <c r="W1013" s="1037"/>
      <c r="X1013" s="1037"/>
      <c r="Y1013" s="1037"/>
      <c r="Z1013" s="1037"/>
      <c r="AA1013" s="1037"/>
      <c r="AB1013" s="1037"/>
      <c r="AC1013" s="1037"/>
      <c r="AD1013" s="1037"/>
      <c r="AE1013" s="1037"/>
      <c r="AF1013" s="1037"/>
      <c r="AG1013" s="1037"/>
      <c r="AH1013" s="1037"/>
      <c r="AI1013" s="1037"/>
      <c r="AJ1013" s="1037"/>
      <c r="AK1013" s="1037"/>
      <c r="AL1013" s="1037"/>
      <c r="AM1013" s="1037"/>
      <c r="AN1013" s="1037"/>
      <c r="AO1013" s="1037"/>
      <c r="AP1013" s="1037"/>
    </row>
    <row r="1014" spans="1:42" s="226" customFormat="1">
      <c r="A1014" s="2060"/>
      <c r="B1014" s="1037"/>
      <c r="C1014" s="1037"/>
      <c r="D1014" s="1037"/>
      <c r="E1014" s="1037"/>
      <c r="F1014" s="1037"/>
      <c r="G1014" s="1037"/>
      <c r="H1014" s="1018"/>
      <c r="I1014" s="1037"/>
      <c r="J1014" s="1037"/>
      <c r="K1014" s="1037"/>
      <c r="L1014" s="1037"/>
      <c r="M1014" s="1037"/>
      <c r="N1014" s="1037"/>
      <c r="O1014" s="1037"/>
      <c r="P1014" s="1037"/>
      <c r="Q1014" s="1037"/>
      <c r="R1014" s="1037"/>
      <c r="S1014" s="1037"/>
      <c r="T1014" s="1037"/>
      <c r="U1014" s="1037"/>
      <c r="V1014" s="1037"/>
      <c r="W1014" s="1037"/>
      <c r="X1014" s="1037"/>
      <c r="Y1014" s="1037"/>
      <c r="Z1014" s="1037"/>
      <c r="AA1014" s="1037"/>
      <c r="AB1014" s="1037"/>
      <c r="AC1014" s="1037"/>
      <c r="AD1014" s="1037"/>
      <c r="AE1014" s="1037"/>
      <c r="AF1014" s="1037"/>
      <c r="AG1014" s="1037"/>
      <c r="AH1014" s="1037"/>
      <c r="AI1014" s="1037"/>
      <c r="AJ1014" s="1037"/>
      <c r="AK1014" s="1037"/>
      <c r="AL1014" s="1037"/>
      <c r="AM1014" s="1037"/>
      <c r="AN1014" s="1037"/>
      <c r="AO1014" s="1037"/>
      <c r="AP1014" s="1037"/>
    </row>
    <row r="1015" spans="1:42" s="226" customFormat="1">
      <c r="A1015" s="2060"/>
      <c r="B1015" s="1037"/>
      <c r="C1015" s="1037"/>
      <c r="D1015" s="1037"/>
      <c r="E1015" s="1037"/>
      <c r="F1015" s="1037"/>
      <c r="G1015" s="1037"/>
      <c r="H1015" s="1018"/>
      <c r="I1015" s="1037"/>
      <c r="J1015" s="1037"/>
      <c r="K1015" s="1037"/>
      <c r="L1015" s="1037"/>
      <c r="M1015" s="1037"/>
      <c r="N1015" s="1037"/>
      <c r="O1015" s="1037"/>
      <c r="P1015" s="1037"/>
      <c r="Q1015" s="1037"/>
      <c r="R1015" s="1037"/>
      <c r="S1015" s="1037"/>
      <c r="T1015" s="1037"/>
      <c r="U1015" s="1037"/>
      <c r="V1015" s="1037"/>
      <c r="W1015" s="1037"/>
      <c r="X1015" s="1037"/>
      <c r="Y1015" s="1037"/>
      <c r="Z1015" s="1037"/>
      <c r="AA1015" s="1037"/>
      <c r="AB1015" s="1037"/>
      <c r="AC1015" s="1037"/>
      <c r="AD1015" s="1037"/>
      <c r="AE1015" s="1037"/>
      <c r="AF1015" s="1037"/>
      <c r="AG1015" s="1037"/>
      <c r="AH1015" s="1037"/>
      <c r="AI1015" s="1037"/>
      <c r="AJ1015" s="1037"/>
      <c r="AK1015" s="1037"/>
      <c r="AL1015" s="1037"/>
      <c r="AM1015" s="1037"/>
      <c r="AN1015" s="1037"/>
      <c r="AO1015" s="1037"/>
      <c r="AP1015" s="1037"/>
    </row>
    <row r="1016" spans="1:42" s="226" customFormat="1">
      <c r="A1016" s="2060"/>
      <c r="B1016" s="1037"/>
      <c r="C1016" s="1037"/>
      <c r="D1016" s="1037"/>
      <c r="E1016" s="1037"/>
      <c r="F1016" s="1037"/>
      <c r="G1016" s="1037"/>
      <c r="H1016" s="1018"/>
      <c r="I1016" s="1037"/>
      <c r="J1016" s="1037"/>
      <c r="K1016" s="1037"/>
      <c r="L1016" s="1037"/>
      <c r="M1016" s="1037"/>
      <c r="N1016" s="1037"/>
      <c r="O1016" s="1037"/>
      <c r="P1016" s="1037"/>
      <c r="Q1016" s="1037"/>
      <c r="R1016" s="1037"/>
      <c r="S1016" s="1037"/>
      <c r="T1016" s="1037"/>
      <c r="U1016" s="1037"/>
      <c r="V1016" s="1037"/>
      <c r="W1016" s="1037"/>
      <c r="X1016" s="1037"/>
      <c r="Y1016" s="1037"/>
      <c r="Z1016" s="1037"/>
      <c r="AA1016" s="1037"/>
      <c r="AB1016" s="1037"/>
      <c r="AC1016" s="1037"/>
      <c r="AD1016" s="1037"/>
      <c r="AE1016" s="1037"/>
      <c r="AF1016" s="1037"/>
      <c r="AG1016" s="1037"/>
      <c r="AH1016" s="1037"/>
      <c r="AI1016" s="1037"/>
      <c r="AJ1016" s="1037"/>
      <c r="AK1016" s="1037"/>
      <c r="AL1016" s="1037"/>
      <c r="AM1016" s="1037"/>
      <c r="AN1016" s="1037"/>
      <c r="AO1016" s="1037"/>
      <c r="AP1016" s="1037"/>
    </row>
    <row r="1017" spans="1:42" s="226" customFormat="1">
      <c r="A1017" s="2060"/>
      <c r="B1017" s="1037"/>
      <c r="C1017" s="1037"/>
      <c r="D1017" s="1037"/>
      <c r="E1017" s="1037"/>
      <c r="F1017" s="1037"/>
      <c r="G1017" s="1037"/>
      <c r="H1017" s="1018"/>
      <c r="I1017" s="1037"/>
      <c r="J1017" s="1037"/>
      <c r="K1017" s="1037"/>
      <c r="L1017" s="1037"/>
      <c r="M1017" s="1037"/>
      <c r="N1017" s="1037"/>
      <c r="O1017" s="1037"/>
      <c r="P1017" s="1037"/>
      <c r="Q1017" s="1037"/>
      <c r="R1017" s="1037"/>
      <c r="S1017" s="1037"/>
      <c r="T1017" s="1037"/>
      <c r="U1017" s="1037"/>
      <c r="V1017" s="1037"/>
      <c r="W1017" s="1037"/>
      <c r="X1017" s="1037"/>
      <c r="Y1017" s="1037"/>
      <c r="Z1017" s="1037"/>
      <c r="AA1017" s="1037"/>
      <c r="AB1017" s="1037"/>
      <c r="AC1017" s="1037"/>
      <c r="AD1017" s="1037"/>
      <c r="AE1017" s="1037"/>
      <c r="AF1017" s="1037"/>
      <c r="AG1017" s="1037"/>
      <c r="AH1017" s="1037"/>
      <c r="AI1017" s="1037"/>
      <c r="AJ1017" s="1037"/>
      <c r="AK1017" s="1037"/>
      <c r="AL1017" s="1037"/>
      <c r="AM1017" s="1037"/>
      <c r="AN1017" s="1037"/>
      <c r="AO1017" s="1037"/>
      <c r="AP1017" s="1037"/>
    </row>
    <row r="1018" spans="1:42" s="226" customFormat="1">
      <c r="A1018" s="2060"/>
      <c r="B1018" s="1037"/>
      <c r="C1018" s="1037"/>
      <c r="D1018" s="1037"/>
      <c r="E1018" s="1037"/>
      <c r="F1018" s="1037"/>
      <c r="G1018" s="1037"/>
      <c r="H1018" s="1018"/>
      <c r="I1018" s="1037"/>
      <c r="J1018" s="1037"/>
      <c r="K1018" s="1037"/>
      <c r="L1018" s="1037"/>
      <c r="M1018" s="1037"/>
      <c r="N1018" s="1037"/>
      <c r="O1018" s="1037"/>
      <c r="P1018" s="1037"/>
      <c r="Q1018" s="1037"/>
      <c r="R1018" s="1037"/>
      <c r="S1018" s="1037"/>
      <c r="T1018" s="1037"/>
      <c r="U1018" s="1037"/>
      <c r="V1018" s="1037"/>
      <c r="W1018" s="1037"/>
      <c r="X1018" s="1037"/>
      <c r="Y1018" s="1037"/>
      <c r="Z1018" s="1037"/>
      <c r="AA1018" s="1037"/>
      <c r="AB1018" s="1037"/>
      <c r="AC1018" s="1037"/>
      <c r="AD1018" s="1037"/>
      <c r="AE1018" s="1037"/>
      <c r="AF1018" s="1037"/>
      <c r="AG1018" s="1037"/>
      <c r="AH1018" s="1037"/>
      <c r="AI1018" s="1037"/>
      <c r="AJ1018" s="1037"/>
      <c r="AK1018" s="1037"/>
      <c r="AL1018" s="1037"/>
      <c r="AM1018" s="1037"/>
      <c r="AN1018" s="1037"/>
      <c r="AO1018" s="1037"/>
      <c r="AP1018" s="1037"/>
    </row>
    <row r="1019" spans="1:42" s="226" customFormat="1">
      <c r="A1019" s="2060"/>
      <c r="B1019" s="1037"/>
      <c r="C1019" s="1037"/>
      <c r="D1019" s="1037"/>
      <c r="E1019" s="1037"/>
      <c r="F1019" s="1037"/>
      <c r="G1019" s="1037"/>
      <c r="H1019" s="1018"/>
      <c r="I1019" s="1037"/>
      <c r="J1019" s="1037"/>
      <c r="K1019" s="1037"/>
      <c r="L1019" s="1037"/>
      <c r="M1019" s="1037"/>
      <c r="N1019" s="1037"/>
      <c r="O1019" s="1037"/>
      <c r="P1019" s="1037"/>
      <c r="Q1019" s="1037"/>
      <c r="R1019" s="1037"/>
      <c r="S1019" s="1037"/>
      <c r="T1019" s="1037"/>
      <c r="U1019" s="1037"/>
      <c r="V1019" s="1037"/>
      <c r="W1019" s="1037"/>
      <c r="X1019" s="1037"/>
      <c r="Y1019" s="1037"/>
      <c r="Z1019" s="1037"/>
      <c r="AA1019" s="1037"/>
      <c r="AB1019" s="1037"/>
      <c r="AC1019" s="1037"/>
      <c r="AD1019" s="1037"/>
      <c r="AE1019" s="1037"/>
      <c r="AF1019" s="1037"/>
      <c r="AG1019" s="1037"/>
      <c r="AH1019" s="1037"/>
      <c r="AI1019" s="1037"/>
      <c r="AJ1019" s="1037"/>
      <c r="AK1019" s="1037"/>
      <c r="AL1019" s="1037"/>
      <c r="AM1019" s="1037"/>
      <c r="AN1019" s="1037"/>
      <c r="AO1019" s="1037"/>
      <c r="AP1019" s="1037"/>
    </row>
    <row r="1020" spans="1:42" s="226" customFormat="1">
      <c r="A1020" s="2060"/>
      <c r="B1020" s="1037"/>
      <c r="C1020" s="1037"/>
      <c r="D1020" s="1037"/>
      <c r="E1020" s="1037"/>
      <c r="F1020" s="1037"/>
      <c r="G1020" s="1037"/>
      <c r="H1020" s="1018"/>
      <c r="I1020" s="1037"/>
      <c r="J1020" s="1037"/>
      <c r="K1020" s="1037"/>
      <c r="L1020" s="1037"/>
      <c r="M1020" s="1037"/>
      <c r="N1020" s="1037"/>
      <c r="O1020" s="1037"/>
      <c r="P1020" s="1037"/>
      <c r="Q1020" s="1037"/>
      <c r="R1020" s="1037"/>
      <c r="S1020" s="1037"/>
      <c r="T1020" s="1037"/>
      <c r="U1020" s="1037"/>
      <c r="V1020" s="1037"/>
      <c r="W1020" s="1037"/>
      <c r="X1020" s="1037"/>
      <c r="Y1020" s="1037"/>
      <c r="Z1020" s="1037"/>
      <c r="AA1020" s="1037"/>
      <c r="AB1020" s="1037"/>
      <c r="AC1020" s="1037"/>
      <c r="AD1020" s="1037"/>
      <c r="AE1020" s="1037"/>
      <c r="AF1020" s="1037"/>
      <c r="AG1020" s="1037"/>
      <c r="AH1020" s="1037"/>
      <c r="AI1020" s="1037"/>
      <c r="AJ1020" s="1037"/>
      <c r="AK1020" s="1037"/>
      <c r="AL1020" s="1037"/>
      <c r="AM1020" s="1037"/>
      <c r="AN1020" s="1037"/>
      <c r="AO1020" s="1037"/>
      <c r="AP1020" s="1037"/>
    </row>
    <row r="1021" spans="1:42" s="226" customFormat="1">
      <c r="A1021" s="2060"/>
      <c r="B1021" s="1037"/>
      <c r="C1021" s="1037"/>
      <c r="D1021" s="1037"/>
      <c r="E1021" s="1037"/>
      <c r="F1021" s="1037"/>
      <c r="G1021" s="1037"/>
      <c r="H1021" s="1018"/>
      <c r="I1021" s="1037"/>
      <c r="J1021" s="1037"/>
      <c r="K1021" s="1037"/>
      <c r="L1021" s="1037"/>
      <c r="M1021" s="1037"/>
      <c r="N1021" s="1037"/>
      <c r="O1021" s="1037"/>
      <c r="P1021" s="1037"/>
      <c r="Q1021" s="1037"/>
      <c r="R1021" s="1037"/>
      <c r="S1021" s="1037"/>
      <c r="T1021" s="1037"/>
      <c r="U1021" s="1037"/>
      <c r="V1021" s="1037"/>
      <c r="W1021" s="1037"/>
      <c r="X1021" s="1037"/>
      <c r="Y1021" s="1037"/>
      <c r="Z1021" s="1037"/>
      <c r="AA1021" s="1037"/>
      <c r="AB1021" s="1037"/>
      <c r="AC1021" s="1037"/>
      <c r="AD1021" s="1037"/>
      <c r="AE1021" s="1037"/>
      <c r="AF1021" s="1037"/>
      <c r="AG1021" s="1037"/>
      <c r="AH1021" s="1037"/>
      <c r="AI1021" s="1037"/>
      <c r="AJ1021" s="1037"/>
      <c r="AK1021" s="1037"/>
      <c r="AL1021" s="1037"/>
      <c r="AM1021" s="1037"/>
      <c r="AN1021" s="1037"/>
      <c r="AO1021" s="1037"/>
      <c r="AP1021" s="1037"/>
    </row>
    <row r="1022" spans="1:42" s="226" customFormat="1">
      <c r="A1022" s="2060"/>
      <c r="B1022" s="1037"/>
      <c r="C1022" s="1037"/>
      <c r="D1022" s="1037"/>
      <c r="E1022" s="1037"/>
      <c r="F1022" s="1037"/>
      <c r="G1022" s="1037"/>
      <c r="H1022" s="1018"/>
      <c r="I1022" s="1037"/>
      <c r="J1022" s="1037"/>
      <c r="K1022" s="1037"/>
      <c r="L1022" s="1037"/>
      <c r="M1022" s="1037"/>
      <c r="N1022" s="1037"/>
      <c r="O1022" s="1037"/>
      <c r="P1022" s="1037"/>
      <c r="Q1022" s="1037"/>
      <c r="R1022" s="1037"/>
      <c r="S1022" s="1037"/>
      <c r="T1022" s="1037"/>
      <c r="U1022" s="1037"/>
      <c r="V1022" s="1037"/>
      <c r="W1022" s="1037"/>
      <c r="X1022" s="1037"/>
      <c r="Y1022" s="1037"/>
      <c r="Z1022" s="1037"/>
      <c r="AA1022" s="1037"/>
      <c r="AB1022" s="1037"/>
      <c r="AC1022" s="1037"/>
      <c r="AD1022" s="1037"/>
      <c r="AE1022" s="1037"/>
      <c r="AF1022" s="1037"/>
      <c r="AG1022" s="1037"/>
      <c r="AH1022" s="1037"/>
      <c r="AI1022" s="1037"/>
      <c r="AJ1022" s="1037"/>
      <c r="AK1022" s="1037"/>
      <c r="AL1022" s="1037"/>
      <c r="AM1022" s="1037"/>
      <c r="AN1022" s="1037"/>
      <c r="AO1022" s="1037"/>
      <c r="AP1022" s="1037"/>
    </row>
    <row r="1023" spans="1:42" s="226" customFormat="1">
      <c r="A1023" s="2060"/>
      <c r="B1023" s="1037"/>
      <c r="C1023" s="1037"/>
      <c r="D1023" s="1037"/>
      <c r="E1023" s="1037"/>
      <c r="F1023" s="1037"/>
      <c r="G1023" s="1037"/>
      <c r="H1023" s="1018"/>
      <c r="I1023" s="1037"/>
      <c r="J1023" s="1037"/>
      <c r="K1023" s="1037"/>
      <c r="L1023" s="1037"/>
      <c r="M1023" s="1037"/>
      <c r="N1023" s="1037"/>
      <c r="O1023" s="1037"/>
      <c r="P1023" s="1037"/>
      <c r="Q1023" s="1037"/>
      <c r="R1023" s="1037"/>
      <c r="S1023" s="1037"/>
      <c r="T1023" s="1037"/>
      <c r="U1023" s="1037"/>
      <c r="V1023" s="1037"/>
      <c r="W1023" s="1037"/>
      <c r="X1023" s="1037"/>
      <c r="Y1023" s="1037"/>
      <c r="Z1023" s="1037"/>
      <c r="AA1023" s="1037"/>
      <c r="AB1023" s="1037"/>
      <c r="AC1023" s="1037"/>
      <c r="AD1023" s="1037"/>
      <c r="AE1023" s="1037"/>
      <c r="AF1023" s="1037"/>
      <c r="AG1023" s="1037"/>
      <c r="AH1023" s="1037"/>
      <c r="AI1023" s="1037"/>
      <c r="AJ1023" s="1037"/>
      <c r="AK1023" s="1037"/>
      <c r="AL1023" s="1037"/>
      <c r="AM1023" s="1037"/>
      <c r="AN1023" s="1037"/>
      <c r="AO1023" s="1037"/>
      <c r="AP1023" s="1037"/>
    </row>
    <row r="1024" spans="1:42" s="226" customFormat="1">
      <c r="A1024" s="2060"/>
      <c r="B1024" s="1037"/>
      <c r="C1024" s="1037"/>
      <c r="D1024" s="1037"/>
      <c r="E1024" s="1037"/>
      <c r="F1024" s="1037"/>
      <c r="G1024" s="1037"/>
      <c r="H1024" s="1018"/>
      <c r="I1024" s="1037"/>
      <c r="J1024" s="1037"/>
      <c r="K1024" s="1037"/>
      <c r="L1024" s="1037"/>
      <c r="M1024" s="1037"/>
      <c r="N1024" s="1037"/>
      <c r="O1024" s="1037"/>
      <c r="P1024" s="1037"/>
      <c r="Q1024" s="1037"/>
      <c r="R1024" s="1037"/>
      <c r="S1024" s="1037"/>
      <c r="T1024" s="1037"/>
      <c r="U1024" s="1037"/>
      <c r="V1024" s="1037"/>
      <c r="W1024" s="1037"/>
      <c r="X1024" s="1037"/>
      <c r="Y1024" s="1037"/>
      <c r="Z1024" s="1037"/>
      <c r="AA1024" s="1037"/>
      <c r="AB1024" s="1037"/>
      <c r="AC1024" s="1037"/>
      <c r="AD1024" s="1037"/>
      <c r="AE1024" s="1037"/>
      <c r="AF1024" s="1037"/>
      <c r="AG1024" s="1037"/>
      <c r="AH1024" s="1037"/>
      <c r="AI1024" s="1037"/>
      <c r="AJ1024" s="1037"/>
      <c r="AK1024" s="1037"/>
      <c r="AL1024" s="1037"/>
      <c r="AM1024" s="1037"/>
      <c r="AN1024" s="1037"/>
      <c r="AO1024" s="1037"/>
      <c r="AP1024" s="1037"/>
    </row>
    <row r="1025" spans="1:42" s="226" customFormat="1">
      <c r="A1025" s="2060"/>
      <c r="B1025" s="1037"/>
      <c r="C1025" s="1037"/>
      <c r="D1025" s="1037"/>
      <c r="E1025" s="1037"/>
      <c r="F1025" s="1037"/>
      <c r="G1025" s="1037"/>
      <c r="H1025" s="1018"/>
      <c r="I1025" s="1037"/>
      <c r="J1025" s="1037"/>
      <c r="K1025" s="1037"/>
      <c r="L1025" s="1037"/>
      <c r="M1025" s="1037"/>
      <c r="N1025" s="1037"/>
      <c r="O1025" s="1037"/>
      <c r="P1025" s="1037"/>
      <c r="Q1025" s="1037"/>
      <c r="R1025" s="1037"/>
      <c r="S1025" s="1037"/>
      <c r="T1025" s="1037"/>
      <c r="U1025" s="1037"/>
      <c r="V1025" s="1037"/>
      <c r="W1025" s="1037"/>
      <c r="X1025" s="1037"/>
      <c r="Y1025" s="1037"/>
      <c r="Z1025" s="1037"/>
      <c r="AA1025" s="1037"/>
      <c r="AB1025" s="1037"/>
      <c r="AC1025" s="1037"/>
      <c r="AD1025" s="1037"/>
      <c r="AE1025" s="1037"/>
      <c r="AF1025" s="1037"/>
      <c r="AG1025" s="1037"/>
      <c r="AH1025" s="1037"/>
      <c r="AI1025" s="1037"/>
      <c r="AJ1025" s="1037"/>
      <c r="AK1025" s="1037"/>
      <c r="AL1025" s="1037"/>
      <c r="AM1025" s="1037"/>
      <c r="AN1025" s="1037"/>
      <c r="AO1025" s="1037"/>
      <c r="AP1025" s="1037"/>
    </row>
    <row r="1026" spans="1:42" s="226" customFormat="1">
      <c r="A1026" s="2060"/>
      <c r="B1026" s="1037"/>
      <c r="C1026" s="1037"/>
      <c r="D1026" s="1037"/>
      <c r="E1026" s="1037"/>
      <c r="F1026" s="1037"/>
      <c r="G1026" s="1037"/>
      <c r="H1026" s="1018"/>
      <c r="I1026" s="1037"/>
      <c r="J1026" s="1037"/>
      <c r="K1026" s="1037"/>
      <c r="L1026" s="1037"/>
      <c r="M1026" s="1037"/>
      <c r="N1026" s="1037"/>
      <c r="O1026" s="1037"/>
      <c r="P1026" s="1037"/>
      <c r="Q1026" s="1037"/>
      <c r="R1026" s="1037"/>
      <c r="S1026" s="1037"/>
      <c r="T1026" s="1037"/>
      <c r="U1026" s="1037"/>
      <c r="V1026" s="1037"/>
      <c r="W1026" s="1037"/>
      <c r="X1026" s="1037"/>
      <c r="Y1026" s="1037"/>
      <c r="Z1026" s="1037"/>
      <c r="AA1026" s="1037"/>
      <c r="AB1026" s="1037"/>
      <c r="AC1026" s="1037"/>
      <c r="AD1026" s="1037"/>
      <c r="AE1026" s="1037"/>
      <c r="AF1026" s="1037"/>
      <c r="AG1026" s="1037"/>
      <c r="AH1026" s="1037"/>
      <c r="AI1026" s="1037"/>
      <c r="AJ1026" s="1037"/>
      <c r="AK1026" s="1037"/>
      <c r="AL1026" s="1037"/>
      <c r="AM1026" s="1037"/>
      <c r="AN1026" s="1037"/>
      <c r="AO1026" s="1037"/>
      <c r="AP1026" s="1037"/>
    </row>
    <row r="1027" spans="1:42" s="226" customFormat="1">
      <c r="A1027" s="2060"/>
      <c r="B1027" s="1037"/>
      <c r="C1027" s="1037"/>
      <c r="D1027" s="1037"/>
      <c r="E1027" s="1037"/>
      <c r="F1027" s="1037"/>
      <c r="G1027" s="1037"/>
      <c r="H1027" s="1018"/>
      <c r="I1027" s="1037"/>
      <c r="J1027" s="1037"/>
      <c r="K1027" s="1037"/>
      <c r="L1027" s="1037"/>
      <c r="M1027" s="1037"/>
      <c r="N1027" s="1037"/>
      <c r="O1027" s="1037"/>
      <c r="P1027" s="1037"/>
      <c r="Q1027" s="1037"/>
      <c r="R1027" s="1037"/>
      <c r="S1027" s="1037"/>
      <c r="T1027" s="1037"/>
      <c r="U1027" s="1037"/>
      <c r="V1027" s="1037"/>
      <c r="W1027" s="1037"/>
      <c r="X1027" s="1037"/>
      <c r="Y1027" s="1037"/>
      <c r="Z1027" s="1037"/>
      <c r="AA1027" s="1037"/>
      <c r="AB1027" s="1037"/>
      <c r="AC1027" s="1037"/>
      <c r="AD1027" s="1037"/>
      <c r="AE1027" s="1037"/>
      <c r="AF1027" s="1037"/>
      <c r="AG1027" s="1037"/>
      <c r="AH1027" s="1037"/>
      <c r="AI1027" s="1037"/>
      <c r="AJ1027" s="1037"/>
      <c r="AK1027" s="1037"/>
      <c r="AL1027" s="1037"/>
      <c r="AM1027" s="1037"/>
      <c r="AN1027" s="1037"/>
      <c r="AO1027" s="1037"/>
      <c r="AP1027" s="1037"/>
    </row>
    <row r="1028" spans="1:42" s="226" customFormat="1">
      <c r="A1028" s="2060"/>
      <c r="B1028" s="1037"/>
      <c r="C1028" s="1037"/>
      <c r="D1028" s="1037"/>
      <c r="E1028" s="1037"/>
      <c r="F1028" s="1037"/>
      <c r="G1028" s="1037"/>
      <c r="H1028" s="1018"/>
      <c r="I1028" s="1037"/>
      <c r="J1028" s="1037"/>
      <c r="K1028" s="1037"/>
      <c r="L1028" s="1037"/>
      <c r="M1028" s="1037"/>
      <c r="N1028" s="1037"/>
      <c r="O1028" s="1037"/>
      <c r="P1028" s="1037"/>
      <c r="Q1028" s="1037"/>
      <c r="R1028" s="1037"/>
      <c r="S1028" s="1037"/>
      <c r="T1028" s="1037"/>
      <c r="U1028" s="1037"/>
      <c r="V1028" s="1037"/>
      <c r="W1028" s="1037"/>
      <c r="X1028" s="1037"/>
      <c r="Y1028" s="1037"/>
      <c r="Z1028" s="1037"/>
      <c r="AA1028" s="1037"/>
      <c r="AB1028" s="1037"/>
      <c r="AC1028" s="1037"/>
      <c r="AD1028" s="1037"/>
      <c r="AE1028" s="1037"/>
      <c r="AF1028" s="1037"/>
      <c r="AG1028" s="1037"/>
      <c r="AH1028" s="1037"/>
      <c r="AI1028" s="1037"/>
      <c r="AJ1028" s="1037"/>
      <c r="AK1028" s="1037"/>
      <c r="AL1028" s="1037"/>
      <c r="AM1028" s="1037"/>
      <c r="AN1028" s="1037"/>
      <c r="AO1028" s="1037"/>
      <c r="AP1028" s="1037"/>
    </row>
    <row r="1029" spans="1:42" s="226" customFormat="1">
      <c r="A1029" s="2060"/>
      <c r="B1029" s="1037"/>
      <c r="C1029" s="1037"/>
      <c r="D1029" s="1037"/>
      <c r="E1029" s="1037"/>
      <c r="F1029" s="1037"/>
      <c r="G1029" s="1037"/>
      <c r="H1029" s="1018"/>
      <c r="I1029" s="1037"/>
      <c r="J1029" s="1037"/>
      <c r="K1029" s="1037"/>
      <c r="L1029" s="1037"/>
      <c r="M1029" s="1037"/>
      <c r="N1029" s="1037"/>
      <c r="O1029" s="1037"/>
      <c r="P1029" s="1037"/>
      <c r="Q1029" s="1037"/>
      <c r="R1029" s="1037"/>
      <c r="S1029" s="1037"/>
      <c r="T1029" s="1037"/>
      <c r="U1029" s="1037"/>
      <c r="V1029" s="1037"/>
      <c r="W1029" s="1037"/>
      <c r="X1029" s="1037"/>
      <c r="Y1029" s="1037"/>
      <c r="Z1029" s="1037"/>
      <c r="AA1029" s="1037"/>
      <c r="AB1029" s="1037"/>
      <c r="AC1029" s="1037"/>
      <c r="AD1029" s="1037"/>
      <c r="AE1029" s="1037"/>
      <c r="AF1029" s="1037"/>
      <c r="AG1029" s="1037"/>
      <c r="AH1029" s="1037"/>
      <c r="AI1029" s="1037"/>
      <c r="AJ1029" s="1037"/>
      <c r="AK1029" s="1037"/>
      <c r="AL1029" s="1037"/>
      <c r="AM1029" s="1037"/>
      <c r="AN1029" s="1037"/>
      <c r="AO1029" s="1037"/>
      <c r="AP1029" s="1037"/>
    </row>
    <row r="1030" spans="1:42" s="226" customFormat="1">
      <c r="A1030" s="2060"/>
      <c r="B1030" s="1037"/>
      <c r="C1030" s="1037"/>
      <c r="D1030" s="1037"/>
      <c r="E1030" s="1037"/>
      <c r="F1030" s="1037"/>
      <c r="G1030" s="1037"/>
      <c r="H1030" s="1018"/>
      <c r="I1030" s="1037"/>
      <c r="J1030" s="1037"/>
      <c r="K1030" s="1037"/>
      <c r="L1030" s="1037"/>
      <c r="M1030" s="1037"/>
      <c r="N1030" s="1037"/>
      <c r="O1030" s="1037"/>
      <c r="P1030" s="1037"/>
      <c r="Q1030" s="1037"/>
      <c r="R1030" s="1037"/>
      <c r="S1030" s="1037"/>
      <c r="T1030" s="1037"/>
      <c r="U1030" s="1037"/>
      <c r="V1030" s="1037"/>
      <c r="W1030" s="1037"/>
      <c r="X1030" s="1037"/>
      <c r="Y1030" s="1037"/>
      <c r="Z1030" s="1037"/>
      <c r="AA1030" s="1037"/>
      <c r="AB1030" s="1037"/>
      <c r="AC1030" s="1037"/>
      <c r="AD1030" s="1037"/>
      <c r="AE1030" s="1037"/>
      <c r="AF1030" s="1037"/>
      <c r="AG1030" s="1037"/>
      <c r="AH1030" s="1037"/>
      <c r="AI1030" s="1037"/>
      <c r="AJ1030" s="1037"/>
      <c r="AK1030" s="1037"/>
      <c r="AL1030" s="1037"/>
      <c r="AM1030" s="1037"/>
      <c r="AN1030" s="1037"/>
      <c r="AO1030" s="1037"/>
      <c r="AP1030" s="1037"/>
    </row>
    <row r="1031" spans="1:42" s="226" customFormat="1">
      <c r="A1031" s="2060"/>
      <c r="B1031" s="1037"/>
      <c r="C1031" s="1037"/>
      <c r="D1031" s="1037"/>
      <c r="E1031" s="1037"/>
      <c r="F1031" s="1037"/>
      <c r="G1031" s="1037"/>
      <c r="H1031" s="1018"/>
      <c r="I1031" s="1037"/>
      <c r="J1031" s="1037"/>
      <c r="K1031" s="1037"/>
      <c r="L1031" s="1037"/>
      <c r="M1031" s="1037"/>
      <c r="N1031" s="1037"/>
      <c r="O1031" s="1037"/>
      <c r="P1031" s="1037"/>
      <c r="Q1031" s="1037"/>
      <c r="R1031" s="1037"/>
      <c r="S1031" s="1037"/>
      <c r="T1031" s="1037"/>
      <c r="U1031" s="1037"/>
      <c r="V1031" s="1037"/>
      <c r="W1031" s="1037"/>
      <c r="X1031" s="1037"/>
      <c r="Y1031" s="1037"/>
      <c r="Z1031" s="1037"/>
      <c r="AA1031" s="1037"/>
      <c r="AB1031" s="1037"/>
      <c r="AC1031" s="1037"/>
      <c r="AD1031" s="1037"/>
      <c r="AE1031" s="1037"/>
      <c r="AF1031" s="1037"/>
      <c r="AG1031" s="1037"/>
      <c r="AH1031" s="1037"/>
      <c r="AI1031" s="1037"/>
      <c r="AJ1031" s="1037"/>
      <c r="AK1031" s="1037"/>
      <c r="AL1031" s="1037"/>
      <c r="AM1031" s="1037"/>
      <c r="AN1031" s="1037"/>
      <c r="AO1031" s="1037"/>
      <c r="AP1031" s="1037"/>
    </row>
    <row r="1032" spans="1:42" s="226" customFormat="1">
      <c r="A1032" s="2060"/>
      <c r="B1032" s="1037"/>
      <c r="C1032" s="1037"/>
      <c r="D1032" s="1037"/>
      <c r="E1032" s="1037"/>
      <c r="F1032" s="1037"/>
      <c r="G1032" s="1037"/>
      <c r="H1032" s="1018"/>
      <c r="I1032" s="1037"/>
      <c r="J1032" s="1037"/>
      <c r="K1032" s="1037"/>
      <c r="L1032" s="1037"/>
      <c r="M1032" s="1037"/>
      <c r="N1032" s="1037"/>
      <c r="O1032" s="1037"/>
      <c r="P1032" s="1037"/>
      <c r="Q1032" s="1037"/>
      <c r="R1032" s="1037"/>
      <c r="S1032" s="1037"/>
      <c r="T1032" s="1037"/>
      <c r="U1032" s="1037"/>
      <c r="V1032" s="1037"/>
      <c r="W1032" s="1037"/>
      <c r="X1032" s="1037"/>
      <c r="Y1032" s="1037"/>
      <c r="Z1032" s="1037"/>
      <c r="AA1032" s="1037"/>
      <c r="AB1032" s="1037"/>
      <c r="AC1032" s="1037"/>
      <c r="AD1032" s="1037"/>
      <c r="AE1032" s="1037"/>
      <c r="AF1032" s="1037"/>
      <c r="AG1032" s="1037"/>
      <c r="AH1032" s="1037"/>
      <c r="AI1032" s="1037"/>
      <c r="AJ1032" s="1037"/>
      <c r="AK1032" s="1037"/>
      <c r="AL1032" s="1037"/>
      <c r="AM1032" s="1037"/>
      <c r="AN1032" s="1037"/>
      <c r="AO1032" s="1037"/>
      <c r="AP1032" s="1037"/>
    </row>
    <row r="1033" spans="1:42" s="226" customFormat="1">
      <c r="A1033" s="2060"/>
      <c r="B1033" s="1037"/>
      <c r="C1033" s="1037"/>
      <c r="D1033" s="1037"/>
      <c r="E1033" s="1037"/>
      <c r="F1033" s="1037"/>
      <c r="G1033" s="1037"/>
      <c r="H1033" s="1018"/>
      <c r="I1033" s="1037"/>
      <c r="J1033" s="1037"/>
      <c r="K1033" s="1037"/>
      <c r="L1033" s="1037"/>
      <c r="M1033" s="1037"/>
      <c r="N1033" s="1037"/>
      <c r="O1033" s="1037"/>
      <c r="P1033" s="1037"/>
      <c r="Q1033" s="1037"/>
      <c r="R1033" s="1037"/>
      <c r="S1033" s="1037"/>
      <c r="T1033" s="1037"/>
      <c r="U1033" s="1037"/>
      <c r="V1033" s="1037"/>
      <c r="W1033" s="1037"/>
      <c r="X1033" s="1037"/>
      <c r="Y1033" s="1037"/>
      <c r="Z1033" s="1037"/>
      <c r="AA1033" s="1037"/>
      <c r="AB1033" s="1037"/>
      <c r="AC1033" s="1037"/>
      <c r="AD1033" s="1037"/>
      <c r="AE1033" s="1037"/>
      <c r="AF1033" s="1037"/>
      <c r="AG1033" s="1037"/>
      <c r="AH1033" s="1037"/>
      <c r="AI1033" s="1037"/>
      <c r="AJ1033" s="1037"/>
      <c r="AK1033" s="1037"/>
      <c r="AL1033" s="1037"/>
      <c r="AM1033" s="1037"/>
      <c r="AN1033" s="1037"/>
      <c r="AO1033" s="1037"/>
      <c r="AP1033" s="1037"/>
    </row>
    <row r="1034" spans="1:42" s="226" customFormat="1">
      <c r="A1034" s="2060"/>
      <c r="B1034" s="1037"/>
      <c r="C1034" s="1037"/>
      <c r="D1034" s="1037"/>
      <c r="E1034" s="1037"/>
      <c r="F1034" s="1037"/>
      <c r="G1034" s="1037"/>
      <c r="H1034" s="1018"/>
      <c r="I1034" s="1037"/>
      <c r="J1034" s="1037"/>
      <c r="K1034" s="1037"/>
      <c r="L1034" s="1037"/>
      <c r="M1034" s="1037"/>
      <c r="N1034" s="1037"/>
      <c r="O1034" s="1037"/>
      <c r="P1034" s="1037"/>
      <c r="Q1034" s="1037"/>
      <c r="R1034" s="1037"/>
      <c r="S1034" s="1037"/>
      <c r="T1034" s="1037"/>
      <c r="U1034" s="1037"/>
      <c r="V1034" s="1037"/>
      <c r="W1034" s="1037"/>
      <c r="X1034" s="1037"/>
      <c r="Y1034" s="1037"/>
      <c r="Z1034" s="1037"/>
      <c r="AA1034" s="1037"/>
      <c r="AB1034" s="1037"/>
      <c r="AC1034" s="1037"/>
      <c r="AD1034" s="1037"/>
      <c r="AE1034" s="1037"/>
      <c r="AF1034" s="1037"/>
      <c r="AG1034" s="1037"/>
      <c r="AH1034" s="1037"/>
      <c r="AI1034" s="1037"/>
      <c r="AJ1034" s="1037"/>
      <c r="AK1034" s="1037"/>
      <c r="AL1034" s="1037"/>
      <c r="AM1034" s="1037"/>
      <c r="AN1034" s="1037"/>
      <c r="AO1034" s="1037"/>
      <c r="AP1034" s="1037"/>
    </row>
    <row r="1035" spans="1:42" s="226" customFormat="1">
      <c r="A1035" s="2060"/>
      <c r="B1035" s="1037"/>
      <c r="C1035" s="1037"/>
      <c r="D1035" s="1037"/>
      <c r="E1035" s="1037"/>
      <c r="F1035" s="1037"/>
      <c r="G1035" s="1037"/>
      <c r="H1035" s="1018"/>
      <c r="I1035" s="1037"/>
      <c r="J1035" s="1037"/>
      <c r="K1035" s="1037"/>
      <c r="L1035" s="1037"/>
      <c r="M1035" s="1037"/>
      <c r="N1035" s="1037"/>
      <c r="O1035" s="1037"/>
      <c r="P1035" s="1037"/>
      <c r="Q1035" s="1037"/>
      <c r="R1035" s="1037"/>
      <c r="S1035" s="1037"/>
      <c r="T1035" s="1037"/>
      <c r="U1035" s="1037"/>
      <c r="V1035" s="1037"/>
      <c r="W1035" s="1037"/>
      <c r="X1035" s="1037"/>
      <c r="Y1035" s="1037"/>
      <c r="Z1035" s="1037"/>
      <c r="AA1035" s="1037"/>
      <c r="AB1035" s="1037"/>
      <c r="AC1035" s="1037"/>
      <c r="AD1035" s="1037"/>
      <c r="AE1035" s="1037"/>
      <c r="AF1035" s="1037"/>
      <c r="AG1035" s="1037"/>
      <c r="AH1035" s="1037"/>
      <c r="AI1035" s="1037"/>
      <c r="AJ1035" s="1037"/>
      <c r="AK1035" s="1037"/>
      <c r="AL1035" s="1037"/>
      <c r="AM1035" s="1037"/>
      <c r="AN1035" s="1037"/>
      <c r="AO1035" s="1037"/>
      <c r="AP1035" s="1037"/>
    </row>
    <row r="1036" spans="1:42" s="226" customFormat="1">
      <c r="A1036" s="2060"/>
      <c r="B1036" s="1037"/>
      <c r="C1036" s="1037"/>
      <c r="D1036" s="1037"/>
      <c r="E1036" s="1037"/>
      <c r="F1036" s="1037"/>
      <c r="G1036" s="1037"/>
      <c r="H1036" s="1018"/>
      <c r="I1036" s="1037"/>
      <c r="J1036" s="1037"/>
      <c r="K1036" s="1037"/>
      <c r="L1036" s="1037"/>
      <c r="M1036" s="1037"/>
      <c r="N1036" s="1037"/>
      <c r="O1036" s="1037"/>
      <c r="P1036" s="1037"/>
      <c r="Q1036" s="1037"/>
      <c r="R1036" s="1037"/>
      <c r="S1036" s="1037"/>
      <c r="T1036" s="1037"/>
      <c r="U1036" s="1037"/>
      <c r="V1036" s="1037"/>
      <c r="W1036" s="1037"/>
      <c r="X1036" s="1037"/>
      <c r="Y1036" s="1037"/>
      <c r="Z1036" s="1037"/>
      <c r="AA1036" s="1037"/>
      <c r="AB1036" s="1037"/>
      <c r="AC1036" s="1037"/>
      <c r="AD1036" s="1037"/>
      <c r="AE1036" s="1037"/>
      <c r="AF1036" s="1037"/>
      <c r="AG1036" s="1037"/>
      <c r="AH1036" s="1037"/>
      <c r="AI1036" s="1037"/>
      <c r="AJ1036" s="1037"/>
      <c r="AK1036" s="1037"/>
      <c r="AL1036" s="1037"/>
      <c r="AM1036" s="1037"/>
      <c r="AN1036" s="1037"/>
      <c r="AO1036" s="1037"/>
      <c r="AP1036" s="1037"/>
    </row>
    <row r="1037" spans="1:42" s="226" customFormat="1">
      <c r="A1037" s="2060"/>
      <c r="B1037" s="1037"/>
      <c r="C1037" s="1037"/>
      <c r="D1037" s="1037"/>
      <c r="E1037" s="1037"/>
      <c r="F1037" s="1037"/>
      <c r="G1037" s="1037"/>
      <c r="H1037" s="1018"/>
      <c r="I1037" s="1037"/>
      <c r="J1037" s="1037"/>
      <c r="K1037" s="1037"/>
      <c r="L1037" s="1037"/>
      <c r="M1037" s="1037"/>
      <c r="N1037" s="1037"/>
      <c r="O1037" s="1037"/>
      <c r="P1037" s="1037"/>
      <c r="Q1037" s="1037"/>
      <c r="R1037" s="1037"/>
      <c r="S1037" s="1037"/>
      <c r="T1037" s="1037"/>
      <c r="U1037" s="1037"/>
      <c r="V1037" s="1037"/>
      <c r="W1037" s="1037"/>
      <c r="X1037" s="1037"/>
      <c r="Y1037" s="1037"/>
      <c r="Z1037" s="1037"/>
      <c r="AA1037" s="1037"/>
      <c r="AB1037" s="1037"/>
      <c r="AC1037" s="1037"/>
      <c r="AD1037" s="1037"/>
      <c r="AE1037" s="1037"/>
      <c r="AF1037" s="1037"/>
      <c r="AG1037" s="1037"/>
      <c r="AH1037" s="1037"/>
      <c r="AI1037" s="1037"/>
      <c r="AJ1037" s="1037"/>
      <c r="AK1037" s="1037"/>
      <c r="AL1037" s="1037"/>
      <c r="AM1037" s="1037"/>
      <c r="AN1037" s="1037"/>
      <c r="AO1037" s="1037"/>
      <c r="AP1037" s="1037"/>
    </row>
    <row r="1038" spans="1:42" s="226" customFormat="1">
      <c r="A1038" s="2060"/>
      <c r="B1038" s="1037"/>
      <c r="C1038" s="1037"/>
      <c r="D1038" s="1037"/>
      <c r="E1038" s="1037"/>
      <c r="F1038" s="1037"/>
      <c r="G1038" s="1037"/>
      <c r="H1038" s="1018"/>
      <c r="I1038" s="1037"/>
      <c r="J1038" s="1037"/>
      <c r="K1038" s="1037"/>
      <c r="L1038" s="1037"/>
      <c r="M1038" s="1037"/>
      <c r="N1038" s="1037"/>
      <c r="O1038" s="1037"/>
      <c r="P1038" s="1037"/>
      <c r="Q1038" s="1037"/>
      <c r="R1038" s="1037"/>
      <c r="S1038" s="1037"/>
      <c r="T1038" s="1037"/>
      <c r="U1038" s="1037"/>
      <c r="V1038" s="1037"/>
      <c r="W1038" s="1037"/>
      <c r="X1038" s="1037"/>
      <c r="Y1038" s="1037"/>
      <c r="Z1038" s="1037"/>
      <c r="AA1038" s="1037"/>
      <c r="AB1038" s="1037"/>
      <c r="AC1038" s="1037"/>
      <c r="AD1038" s="1037"/>
      <c r="AE1038" s="1037"/>
      <c r="AF1038" s="1037"/>
      <c r="AG1038" s="1037"/>
      <c r="AH1038" s="1037"/>
      <c r="AI1038" s="1037"/>
      <c r="AJ1038" s="1037"/>
      <c r="AK1038" s="1037"/>
      <c r="AL1038" s="1037"/>
      <c r="AM1038" s="1037"/>
      <c r="AN1038" s="1037"/>
      <c r="AO1038" s="1037"/>
      <c r="AP1038" s="1037"/>
    </row>
    <row r="1039" spans="1:42" s="226" customFormat="1">
      <c r="A1039" s="2060"/>
      <c r="B1039" s="1037"/>
      <c r="C1039" s="1037"/>
      <c r="D1039" s="1037"/>
      <c r="E1039" s="1037"/>
      <c r="F1039" s="1037"/>
      <c r="G1039" s="1037"/>
      <c r="H1039" s="1018"/>
      <c r="I1039" s="1037"/>
      <c r="J1039" s="1037"/>
      <c r="K1039" s="1037"/>
      <c r="L1039" s="1037"/>
      <c r="M1039" s="1037"/>
      <c r="N1039" s="1037"/>
      <c r="O1039" s="1037"/>
      <c r="P1039" s="1037"/>
      <c r="Q1039" s="1037"/>
      <c r="R1039" s="1037"/>
      <c r="S1039" s="1037"/>
      <c r="T1039" s="1037"/>
      <c r="U1039" s="1037"/>
      <c r="V1039" s="1037"/>
      <c r="W1039" s="1037"/>
      <c r="X1039" s="1037"/>
      <c r="Y1039" s="1037"/>
      <c r="Z1039" s="1037"/>
      <c r="AA1039" s="1037"/>
      <c r="AB1039" s="1037"/>
      <c r="AC1039" s="1037"/>
      <c r="AD1039" s="1037"/>
      <c r="AE1039" s="1037"/>
      <c r="AF1039" s="1037"/>
      <c r="AG1039" s="1037"/>
      <c r="AH1039" s="1037"/>
      <c r="AI1039" s="1037"/>
      <c r="AJ1039" s="1037"/>
      <c r="AK1039" s="1037"/>
      <c r="AL1039" s="1037"/>
      <c r="AM1039" s="1037"/>
      <c r="AN1039" s="1037"/>
      <c r="AO1039" s="1037"/>
      <c r="AP1039" s="1037"/>
    </row>
    <row r="1040" spans="1:42" s="226" customFormat="1">
      <c r="A1040" s="2060"/>
      <c r="B1040" s="1037"/>
      <c r="C1040" s="1037"/>
      <c r="D1040" s="1037"/>
      <c r="E1040" s="1037"/>
      <c r="F1040" s="1037"/>
      <c r="G1040" s="1037"/>
      <c r="H1040" s="1018"/>
      <c r="I1040" s="1037"/>
      <c r="J1040" s="1037"/>
      <c r="K1040" s="1037"/>
      <c r="L1040" s="1037"/>
      <c r="M1040" s="1037"/>
      <c r="N1040" s="1037"/>
      <c r="O1040" s="1037"/>
      <c r="P1040" s="1037"/>
      <c r="Q1040" s="1037"/>
      <c r="R1040" s="1037"/>
      <c r="S1040" s="1037"/>
      <c r="T1040" s="1037"/>
      <c r="U1040" s="1037"/>
      <c r="V1040" s="1037"/>
      <c r="W1040" s="1037"/>
      <c r="X1040" s="1037"/>
      <c r="Y1040" s="1037"/>
      <c r="Z1040" s="1037"/>
      <c r="AA1040" s="1037"/>
      <c r="AB1040" s="1037"/>
      <c r="AC1040" s="1037"/>
      <c r="AD1040" s="1037"/>
      <c r="AE1040" s="1037"/>
      <c r="AF1040" s="1037"/>
      <c r="AG1040" s="1037"/>
      <c r="AH1040" s="1037"/>
      <c r="AI1040" s="1037"/>
      <c r="AJ1040" s="1037"/>
      <c r="AK1040" s="1037"/>
      <c r="AL1040" s="1037"/>
      <c r="AM1040" s="1037"/>
      <c r="AN1040" s="1037"/>
      <c r="AO1040" s="1037"/>
      <c r="AP1040" s="1037"/>
    </row>
    <row r="1041" spans="1:42" s="226" customFormat="1">
      <c r="A1041" s="2060"/>
      <c r="B1041" s="1037"/>
      <c r="C1041" s="1037"/>
      <c r="D1041" s="1037"/>
      <c r="E1041" s="1037"/>
      <c r="F1041" s="1037"/>
      <c r="G1041" s="1037"/>
      <c r="H1041" s="1018"/>
      <c r="I1041" s="1037"/>
      <c r="J1041" s="1037"/>
      <c r="K1041" s="1037"/>
      <c r="L1041" s="1037"/>
      <c r="M1041" s="1037"/>
      <c r="N1041" s="1037"/>
      <c r="O1041" s="1037"/>
      <c r="P1041" s="1037"/>
      <c r="Q1041" s="1037"/>
      <c r="R1041" s="1037"/>
      <c r="S1041" s="1037"/>
      <c r="T1041" s="1037"/>
      <c r="U1041" s="1037"/>
      <c r="V1041" s="1037"/>
      <c r="W1041" s="1037"/>
      <c r="X1041" s="1037"/>
      <c r="Y1041" s="1037"/>
      <c r="Z1041" s="1037"/>
      <c r="AA1041" s="1037"/>
      <c r="AB1041" s="1037"/>
      <c r="AC1041" s="1037"/>
      <c r="AD1041" s="1037"/>
      <c r="AE1041" s="1037"/>
      <c r="AF1041" s="1037"/>
      <c r="AG1041" s="1037"/>
      <c r="AH1041" s="1037"/>
      <c r="AI1041" s="1037"/>
      <c r="AJ1041" s="1037"/>
      <c r="AK1041" s="1037"/>
      <c r="AL1041" s="1037"/>
      <c r="AM1041" s="1037"/>
      <c r="AN1041" s="1037"/>
      <c r="AO1041" s="1037"/>
      <c r="AP1041" s="1037"/>
    </row>
    <row r="1042" spans="1:42" s="226" customFormat="1">
      <c r="A1042" s="2060"/>
      <c r="B1042" s="1037"/>
      <c r="C1042" s="1037"/>
      <c r="D1042" s="1037"/>
      <c r="E1042" s="1037"/>
      <c r="F1042" s="1037"/>
      <c r="G1042" s="1037"/>
      <c r="H1042" s="1018"/>
      <c r="I1042" s="1037"/>
      <c r="J1042" s="1037"/>
      <c r="K1042" s="1037"/>
      <c r="L1042" s="1037"/>
      <c r="M1042" s="1037"/>
      <c r="N1042" s="1037"/>
      <c r="O1042" s="1037"/>
      <c r="P1042" s="1037"/>
      <c r="Q1042" s="1037"/>
      <c r="R1042" s="1037"/>
      <c r="S1042" s="1037"/>
      <c r="T1042" s="1037"/>
      <c r="U1042" s="1037"/>
      <c r="V1042" s="1037"/>
      <c r="W1042" s="1037"/>
      <c r="X1042" s="1037"/>
      <c r="Y1042" s="1037"/>
      <c r="Z1042" s="1037"/>
      <c r="AA1042" s="1037"/>
      <c r="AB1042" s="1037"/>
      <c r="AC1042" s="1037"/>
      <c r="AD1042" s="1037"/>
      <c r="AE1042" s="1037"/>
      <c r="AF1042" s="1037"/>
      <c r="AG1042" s="1037"/>
      <c r="AH1042" s="1037"/>
      <c r="AI1042" s="1037"/>
      <c r="AJ1042" s="1037"/>
      <c r="AK1042" s="1037"/>
      <c r="AL1042" s="1037"/>
      <c r="AM1042" s="1037"/>
      <c r="AN1042" s="1037"/>
      <c r="AO1042" s="1037"/>
      <c r="AP1042" s="1037"/>
    </row>
    <row r="1043" spans="1:42" s="226" customFormat="1">
      <c r="A1043" s="2060"/>
      <c r="B1043" s="1037"/>
      <c r="C1043" s="1037"/>
      <c r="D1043" s="1037"/>
      <c r="E1043" s="1037"/>
      <c r="F1043" s="1037"/>
      <c r="G1043" s="1037"/>
      <c r="H1043" s="1018"/>
      <c r="I1043" s="1037"/>
      <c r="J1043" s="1037"/>
      <c r="K1043" s="1037"/>
      <c r="L1043" s="1037"/>
      <c r="M1043" s="1037"/>
      <c r="N1043" s="1037"/>
      <c r="O1043" s="1037"/>
      <c r="P1043" s="1037"/>
      <c r="Q1043" s="1037"/>
      <c r="R1043" s="1037"/>
      <c r="S1043" s="1037"/>
      <c r="T1043" s="1037"/>
      <c r="U1043" s="1037"/>
      <c r="V1043" s="1037"/>
      <c r="W1043" s="1037"/>
      <c r="X1043" s="1037"/>
      <c r="Y1043" s="1037"/>
      <c r="Z1043" s="1037"/>
      <c r="AA1043" s="1037"/>
      <c r="AB1043" s="1037"/>
      <c r="AC1043" s="1037"/>
      <c r="AD1043" s="1037"/>
      <c r="AE1043" s="1037"/>
      <c r="AF1043" s="1037"/>
      <c r="AG1043" s="1037"/>
      <c r="AH1043" s="1037"/>
      <c r="AI1043" s="1037"/>
      <c r="AJ1043" s="1037"/>
      <c r="AK1043" s="1037"/>
      <c r="AL1043" s="1037"/>
      <c r="AM1043" s="1037"/>
      <c r="AN1043" s="1037"/>
      <c r="AO1043" s="1037"/>
      <c r="AP1043" s="1037"/>
    </row>
    <row r="1044" spans="1:42" s="226" customFormat="1">
      <c r="A1044" s="2060"/>
      <c r="B1044" s="1037"/>
      <c r="C1044" s="1037"/>
      <c r="D1044" s="1037"/>
      <c r="E1044" s="1037"/>
      <c r="F1044" s="1037"/>
      <c r="G1044" s="1037"/>
      <c r="H1044" s="1018"/>
      <c r="I1044" s="1037"/>
      <c r="J1044" s="1037"/>
      <c r="K1044" s="1037"/>
      <c r="L1044" s="1037"/>
      <c r="M1044" s="1037"/>
      <c r="N1044" s="1037"/>
      <c r="O1044" s="1037"/>
      <c r="P1044" s="1037"/>
      <c r="Q1044" s="1037"/>
      <c r="R1044" s="1037"/>
      <c r="S1044" s="1037"/>
      <c r="T1044" s="1037"/>
      <c r="U1044" s="1037"/>
      <c r="V1044" s="1037"/>
      <c r="W1044" s="1037"/>
      <c r="X1044" s="1037"/>
      <c r="Y1044" s="1037"/>
      <c r="Z1044" s="1037"/>
      <c r="AA1044" s="1037"/>
      <c r="AB1044" s="1037"/>
      <c r="AC1044" s="1037"/>
      <c r="AD1044" s="1037"/>
      <c r="AE1044" s="1037"/>
      <c r="AF1044" s="1037"/>
      <c r="AG1044" s="1037"/>
      <c r="AH1044" s="1037"/>
      <c r="AI1044" s="1037"/>
      <c r="AJ1044" s="1037"/>
      <c r="AK1044" s="1037"/>
      <c r="AL1044" s="1037"/>
      <c r="AM1044" s="1037"/>
      <c r="AN1044" s="1037"/>
      <c r="AO1044" s="1037"/>
      <c r="AP1044" s="1037"/>
    </row>
    <row r="1045" spans="1:42" s="226" customFormat="1">
      <c r="A1045" s="2060"/>
      <c r="B1045" s="1037"/>
      <c r="C1045" s="1037"/>
      <c r="D1045" s="1037"/>
      <c r="E1045" s="1037"/>
      <c r="F1045" s="1037"/>
      <c r="G1045" s="1037"/>
      <c r="H1045" s="1018"/>
      <c r="I1045" s="1037"/>
      <c r="J1045" s="1037"/>
      <c r="K1045" s="1037"/>
      <c r="L1045" s="1037"/>
      <c r="M1045" s="1037"/>
      <c r="N1045" s="1037"/>
      <c r="O1045" s="1037"/>
      <c r="P1045" s="1037"/>
      <c r="Q1045" s="1037"/>
      <c r="R1045" s="1037"/>
      <c r="S1045" s="1037"/>
      <c r="T1045" s="1037"/>
      <c r="U1045" s="1037"/>
      <c r="V1045" s="1037"/>
      <c r="W1045" s="1037"/>
      <c r="X1045" s="1037"/>
      <c r="Y1045" s="1037"/>
      <c r="Z1045" s="1037"/>
      <c r="AA1045" s="1037"/>
      <c r="AB1045" s="1037"/>
      <c r="AC1045" s="1037"/>
      <c r="AD1045" s="1037"/>
      <c r="AE1045" s="1037"/>
      <c r="AF1045" s="1037"/>
      <c r="AG1045" s="1037"/>
      <c r="AH1045" s="1037"/>
      <c r="AI1045" s="1037"/>
      <c r="AJ1045" s="1037"/>
      <c r="AK1045" s="1037"/>
      <c r="AL1045" s="1037"/>
      <c r="AM1045" s="1037"/>
      <c r="AN1045" s="1037"/>
      <c r="AO1045" s="1037"/>
      <c r="AP1045" s="1037"/>
    </row>
    <row r="1046" spans="1:42" s="226" customFormat="1">
      <c r="A1046" s="2060"/>
      <c r="B1046" s="1037"/>
      <c r="C1046" s="1037"/>
      <c r="D1046" s="1037"/>
      <c r="E1046" s="1037"/>
      <c r="F1046" s="1037"/>
      <c r="G1046" s="1037"/>
      <c r="H1046" s="1018"/>
      <c r="I1046" s="1037"/>
      <c r="J1046" s="1037"/>
      <c r="K1046" s="1037"/>
      <c r="L1046" s="1037"/>
      <c r="M1046" s="1037"/>
      <c r="N1046" s="1037"/>
      <c r="O1046" s="1037"/>
      <c r="P1046" s="1037"/>
      <c r="Q1046" s="1037"/>
      <c r="R1046" s="1037"/>
      <c r="S1046" s="1037"/>
      <c r="T1046" s="1037"/>
      <c r="U1046" s="1037"/>
      <c r="V1046" s="1037"/>
      <c r="W1046" s="1037"/>
      <c r="X1046" s="1037"/>
      <c r="Y1046" s="1037"/>
      <c r="Z1046" s="1037"/>
      <c r="AA1046" s="1037"/>
      <c r="AB1046" s="1037"/>
      <c r="AC1046" s="1037"/>
      <c r="AD1046" s="1037"/>
      <c r="AE1046" s="1037"/>
      <c r="AF1046" s="1037"/>
      <c r="AG1046" s="1037"/>
      <c r="AH1046" s="1037"/>
      <c r="AI1046" s="1037"/>
      <c r="AJ1046" s="1037"/>
      <c r="AK1046" s="1037"/>
      <c r="AL1046" s="1037"/>
      <c r="AM1046" s="1037"/>
      <c r="AN1046" s="1037"/>
      <c r="AO1046" s="1037"/>
      <c r="AP1046" s="1037"/>
    </row>
    <row r="1047" spans="1:42" s="226" customFormat="1">
      <c r="A1047" s="2060"/>
      <c r="B1047" s="1037"/>
      <c r="C1047" s="1037"/>
      <c r="D1047" s="1037"/>
      <c r="E1047" s="1037"/>
      <c r="F1047" s="1037"/>
      <c r="G1047" s="1037"/>
      <c r="H1047" s="1018"/>
      <c r="I1047" s="1037"/>
      <c r="J1047" s="1037"/>
      <c r="K1047" s="1037"/>
      <c r="L1047" s="1037"/>
      <c r="M1047" s="1037"/>
      <c r="N1047" s="1037"/>
      <c r="O1047" s="1037"/>
      <c r="P1047" s="1037"/>
      <c r="Q1047" s="1037"/>
      <c r="R1047" s="1037"/>
      <c r="S1047" s="1037"/>
      <c r="T1047" s="1037"/>
      <c r="U1047" s="1037"/>
      <c r="V1047" s="1037"/>
      <c r="W1047" s="1037"/>
      <c r="X1047" s="1037"/>
      <c r="Y1047" s="1037"/>
      <c r="Z1047" s="1037"/>
      <c r="AA1047" s="1037"/>
      <c r="AB1047" s="1037"/>
      <c r="AC1047" s="1037"/>
      <c r="AD1047" s="1037"/>
      <c r="AE1047" s="1037"/>
      <c r="AF1047" s="1037"/>
      <c r="AG1047" s="1037"/>
      <c r="AH1047" s="1037"/>
      <c r="AI1047" s="1037"/>
      <c r="AJ1047" s="1037"/>
      <c r="AK1047" s="1037"/>
      <c r="AL1047" s="1037"/>
      <c r="AM1047" s="1037"/>
      <c r="AN1047" s="1037"/>
      <c r="AO1047" s="1037"/>
      <c r="AP1047" s="1037"/>
    </row>
    <row r="1048" spans="1:42" s="226" customFormat="1">
      <c r="A1048" s="2060"/>
      <c r="B1048" s="1037"/>
      <c r="C1048" s="1037"/>
      <c r="D1048" s="1037"/>
      <c r="E1048" s="1037"/>
      <c r="F1048" s="1037"/>
      <c r="G1048" s="1037"/>
      <c r="H1048" s="1018"/>
      <c r="I1048" s="1037"/>
      <c r="J1048" s="1037"/>
      <c r="K1048" s="1037"/>
      <c r="L1048" s="1037"/>
      <c r="M1048" s="1037"/>
      <c r="N1048" s="1037"/>
      <c r="O1048" s="1037"/>
      <c r="P1048" s="1037"/>
      <c r="Q1048" s="1037"/>
      <c r="R1048" s="1037"/>
      <c r="S1048" s="1037"/>
      <c r="T1048" s="1037"/>
      <c r="U1048" s="1037"/>
      <c r="V1048" s="1037"/>
      <c r="W1048" s="1037"/>
      <c r="X1048" s="1037"/>
      <c r="Y1048" s="1037"/>
      <c r="Z1048" s="1037"/>
      <c r="AA1048" s="1037"/>
      <c r="AB1048" s="1037"/>
      <c r="AC1048" s="1037"/>
      <c r="AD1048" s="1037"/>
      <c r="AE1048" s="1037"/>
      <c r="AF1048" s="1037"/>
      <c r="AG1048" s="1037"/>
      <c r="AH1048" s="1037"/>
      <c r="AI1048" s="1037"/>
      <c r="AJ1048" s="1037"/>
      <c r="AK1048" s="1037"/>
      <c r="AL1048" s="1037"/>
      <c r="AM1048" s="1037"/>
      <c r="AN1048" s="1037"/>
      <c r="AO1048" s="1037"/>
      <c r="AP1048" s="1037"/>
    </row>
    <row r="1049" spans="1:42" s="226" customFormat="1">
      <c r="A1049" s="2060"/>
      <c r="B1049" s="1037"/>
      <c r="C1049" s="1037"/>
      <c r="D1049" s="1037"/>
      <c r="E1049" s="1037"/>
      <c r="F1049" s="1037"/>
      <c r="G1049" s="1037"/>
      <c r="H1049" s="1018"/>
      <c r="I1049" s="1037"/>
      <c r="J1049" s="1037"/>
      <c r="K1049" s="1037"/>
      <c r="L1049" s="1037"/>
      <c r="M1049" s="1037"/>
      <c r="N1049" s="1037"/>
      <c r="O1049" s="1037"/>
      <c r="P1049" s="1037"/>
      <c r="Q1049" s="1037"/>
      <c r="R1049" s="1037"/>
      <c r="S1049" s="1037"/>
      <c r="T1049" s="1037"/>
      <c r="U1049" s="1037"/>
      <c r="V1049" s="1037"/>
      <c r="W1049" s="1037"/>
      <c r="X1049" s="1037"/>
      <c r="Y1049" s="1037"/>
      <c r="Z1049" s="1037"/>
      <c r="AA1049" s="1037"/>
      <c r="AB1049" s="1037"/>
      <c r="AC1049" s="1037"/>
      <c r="AD1049" s="1037"/>
      <c r="AE1049" s="1037"/>
      <c r="AF1049" s="1037"/>
      <c r="AG1049" s="1037"/>
      <c r="AH1049" s="1037"/>
      <c r="AI1049" s="1037"/>
      <c r="AJ1049" s="1037"/>
      <c r="AK1049" s="1037"/>
      <c r="AL1049" s="1037"/>
      <c r="AM1049" s="1037"/>
      <c r="AN1049" s="1037"/>
      <c r="AO1049" s="1037"/>
      <c r="AP1049" s="1037"/>
    </row>
    <row r="1050" spans="1:42" s="226" customFormat="1">
      <c r="A1050" s="2060"/>
      <c r="B1050" s="1037"/>
      <c r="C1050" s="1037"/>
      <c r="D1050" s="1037"/>
      <c r="E1050" s="1037"/>
      <c r="F1050" s="1037"/>
      <c r="G1050" s="1037"/>
      <c r="H1050" s="1018"/>
      <c r="I1050" s="1037"/>
      <c r="J1050" s="1037"/>
      <c r="K1050" s="1037"/>
      <c r="L1050" s="1037"/>
      <c r="M1050" s="1037"/>
      <c r="N1050" s="1037"/>
      <c r="O1050" s="1037"/>
      <c r="P1050" s="1037"/>
      <c r="Q1050" s="1037"/>
      <c r="R1050" s="1037"/>
      <c r="S1050" s="1037"/>
      <c r="T1050" s="1037"/>
      <c r="U1050" s="1037"/>
      <c r="V1050" s="1037"/>
      <c r="W1050" s="1037"/>
      <c r="X1050" s="1037"/>
      <c r="Y1050" s="1037"/>
      <c r="Z1050" s="1037"/>
      <c r="AA1050" s="1037"/>
      <c r="AB1050" s="1037"/>
      <c r="AC1050" s="1037"/>
      <c r="AD1050" s="1037"/>
      <c r="AE1050" s="1037"/>
      <c r="AF1050" s="1037"/>
      <c r="AG1050" s="1037"/>
      <c r="AH1050" s="1037"/>
      <c r="AI1050" s="1037"/>
      <c r="AJ1050" s="1037"/>
      <c r="AK1050" s="1037"/>
      <c r="AL1050" s="1037"/>
      <c r="AM1050" s="1037"/>
      <c r="AN1050" s="1037"/>
      <c r="AO1050" s="1037"/>
      <c r="AP1050" s="1037"/>
    </row>
    <row r="1051" spans="1:42" s="226" customFormat="1">
      <c r="A1051" s="2060"/>
      <c r="B1051" s="1037"/>
      <c r="C1051" s="1037"/>
      <c r="D1051" s="1037"/>
      <c r="E1051" s="1037"/>
      <c r="F1051" s="1037"/>
      <c r="G1051" s="1037"/>
      <c r="H1051" s="1018"/>
      <c r="I1051" s="1037"/>
      <c r="J1051" s="1037"/>
      <c r="K1051" s="1037"/>
      <c r="L1051" s="1037"/>
      <c r="M1051" s="1037"/>
      <c r="N1051" s="1037"/>
      <c r="O1051" s="1037"/>
      <c r="P1051" s="1037"/>
      <c r="Q1051" s="1037"/>
      <c r="R1051" s="1037"/>
      <c r="S1051" s="1037"/>
      <c r="T1051" s="1037"/>
      <c r="U1051" s="1037"/>
      <c r="V1051" s="1037"/>
      <c r="W1051" s="1037"/>
      <c r="X1051" s="1037"/>
      <c r="Y1051" s="1037"/>
      <c r="Z1051" s="1037"/>
      <c r="AA1051" s="1037"/>
      <c r="AB1051" s="1037"/>
      <c r="AC1051" s="1037"/>
      <c r="AD1051" s="1037"/>
      <c r="AE1051" s="1037"/>
      <c r="AF1051" s="1037"/>
      <c r="AG1051" s="1037"/>
      <c r="AH1051" s="1037"/>
      <c r="AI1051" s="1037"/>
      <c r="AJ1051" s="1037"/>
      <c r="AK1051" s="1037"/>
      <c r="AL1051" s="1037"/>
      <c r="AM1051" s="1037"/>
      <c r="AN1051" s="1037"/>
      <c r="AO1051" s="1037"/>
      <c r="AP1051" s="1037"/>
    </row>
    <row r="1052" spans="1:42" s="226" customFormat="1">
      <c r="A1052" s="2060"/>
      <c r="B1052" s="1037"/>
      <c r="C1052" s="1037"/>
      <c r="D1052" s="1037"/>
      <c r="E1052" s="1037"/>
      <c r="F1052" s="1037"/>
      <c r="G1052" s="1037"/>
      <c r="H1052" s="1018"/>
      <c r="I1052" s="1037"/>
      <c r="J1052" s="1037"/>
      <c r="K1052" s="1037"/>
      <c r="L1052" s="1037"/>
      <c r="M1052" s="1037"/>
      <c r="N1052" s="1037"/>
      <c r="O1052" s="1037"/>
      <c r="P1052" s="1037"/>
      <c r="Q1052" s="1037"/>
      <c r="R1052" s="1037"/>
      <c r="S1052" s="1037"/>
      <c r="T1052" s="1037"/>
      <c r="U1052" s="1037"/>
      <c r="V1052" s="1037"/>
      <c r="W1052" s="1037"/>
      <c r="X1052" s="1037"/>
      <c r="Y1052" s="1037"/>
      <c r="Z1052" s="1037"/>
      <c r="AA1052" s="1037"/>
      <c r="AB1052" s="1037"/>
      <c r="AC1052" s="1037"/>
      <c r="AD1052" s="1037"/>
      <c r="AE1052" s="1037"/>
      <c r="AF1052" s="1037"/>
      <c r="AG1052" s="1037"/>
      <c r="AH1052" s="1037"/>
      <c r="AI1052" s="1037"/>
      <c r="AJ1052" s="1037"/>
      <c r="AK1052" s="1037"/>
      <c r="AL1052" s="1037"/>
      <c r="AM1052" s="1037"/>
      <c r="AN1052" s="1037"/>
      <c r="AO1052" s="1037"/>
      <c r="AP1052" s="1037"/>
    </row>
    <row r="1053" spans="1:42" s="226" customFormat="1">
      <c r="A1053" s="2060"/>
      <c r="B1053" s="1037"/>
      <c r="C1053" s="1037"/>
      <c r="D1053" s="1037"/>
      <c r="E1053" s="1037"/>
      <c r="F1053" s="1037"/>
      <c r="G1053" s="1037"/>
      <c r="H1053" s="1018"/>
      <c r="I1053" s="1037"/>
      <c r="J1053" s="1037"/>
      <c r="K1053" s="1037"/>
      <c r="L1053" s="1037"/>
      <c r="M1053" s="1037"/>
      <c r="N1053" s="1037"/>
      <c r="O1053" s="1037"/>
      <c r="P1053" s="1037"/>
      <c r="Q1053" s="1037"/>
      <c r="R1053" s="1037"/>
      <c r="S1053" s="1037"/>
      <c r="T1053" s="1037"/>
      <c r="U1053" s="1037"/>
      <c r="V1053" s="1037"/>
      <c r="W1053" s="1037"/>
      <c r="X1053" s="1037"/>
      <c r="Y1053" s="1037"/>
      <c r="Z1053" s="1037"/>
      <c r="AA1053" s="1037"/>
      <c r="AB1053" s="1037"/>
      <c r="AC1053" s="1037"/>
      <c r="AD1053" s="1037"/>
      <c r="AE1053" s="1037"/>
      <c r="AF1053" s="1037"/>
      <c r="AG1053" s="1037"/>
      <c r="AH1053" s="1037"/>
      <c r="AI1053" s="1037"/>
      <c r="AJ1053" s="1037"/>
      <c r="AK1053" s="1037"/>
      <c r="AL1053" s="1037"/>
      <c r="AM1053" s="1037"/>
      <c r="AN1053" s="1037"/>
      <c r="AO1053" s="1037"/>
      <c r="AP1053" s="1037"/>
    </row>
    <row r="1054" spans="1:42" s="226" customFormat="1">
      <c r="A1054" s="2060"/>
      <c r="B1054" s="1037"/>
      <c r="C1054" s="1037"/>
      <c r="D1054" s="1037"/>
      <c r="E1054" s="1037"/>
      <c r="F1054" s="1037"/>
      <c r="G1054" s="1037"/>
      <c r="H1054" s="1018"/>
      <c r="I1054" s="1037"/>
      <c r="J1054" s="1037"/>
      <c r="K1054" s="1037"/>
      <c r="L1054" s="1037"/>
      <c r="M1054" s="1037"/>
      <c r="N1054" s="1037"/>
      <c r="O1054" s="1037"/>
      <c r="P1054" s="1037"/>
      <c r="Q1054" s="1037"/>
      <c r="R1054" s="1037"/>
      <c r="S1054" s="1037"/>
      <c r="T1054" s="1037"/>
      <c r="U1054" s="1037"/>
      <c r="V1054" s="1037"/>
      <c r="W1054" s="1037"/>
      <c r="X1054" s="1037"/>
      <c r="Y1054" s="1037"/>
      <c r="Z1054" s="1037"/>
      <c r="AA1054" s="1037"/>
      <c r="AB1054" s="1037"/>
      <c r="AC1054" s="1037"/>
      <c r="AD1054" s="1037"/>
      <c r="AE1054" s="1037"/>
      <c r="AF1054" s="1037"/>
      <c r="AG1054" s="1037"/>
      <c r="AH1054" s="1037"/>
      <c r="AI1054" s="1037"/>
      <c r="AJ1054" s="1037"/>
      <c r="AK1054" s="1037"/>
      <c r="AL1054" s="1037"/>
      <c r="AM1054" s="1037"/>
      <c r="AN1054" s="1037"/>
      <c r="AO1054" s="1037"/>
      <c r="AP1054" s="1037"/>
    </row>
    <row r="1055" spans="1:42" s="226" customFormat="1">
      <c r="A1055" s="2060"/>
      <c r="B1055" s="1037"/>
      <c r="C1055" s="1037"/>
      <c r="D1055" s="1037"/>
      <c r="E1055" s="1037"/>
      <c r="F1055" s="1037"/>
      <c r="G1055" s="1037"/>
      <c r="H1055" s="1018"/>
      <c r="I1055" s="1037"/>
      <c r="J1055" s="1037"/>
      <c r="K1055" s="1037"/>
      <c r="L1055" s="1037"/>
      <c r="M1055" s="1037"/>
      <c r="N1055" s="1037"/>
      <c r="O1055" s="1037"/>
      <c r="P1055" s="1037"/>
      <c r="Q1055" s="1037"/>
      <c r="R1055" s="1037"/>
      <c r="S1055" s="1037"/>
      <c r="T1055" s="1037"/>
      <c r="U1055" s="1037"/>
      <c r="V1055" s="1037"/>
      <c r="W1055" s="1037"/>
      <c r="X1055" s="1037"/>
      <c r="Y1055" s="1037"/>
      <c r="Z1055" s="1037"/>
      <c r="AA1055" s="1037"/>
      <c r="AB1055" s="1037"/>
      <c r="AC1055" s="1037"/>
      <c r="AD1055" s="1037"/>
      <c r="AE1055" s="1037"/>
      <c r="AF1055" s="1037"/>
      <c r="AG1055" s="1037"/>
      <c r="AH1055" s="1037"/>
      <c r="AI1055" s="1037"/>
      <c r="AJ1055" s="1037"/>
      <c r="AK1055" s="1037"/>
      <c r="AL1055" s="1037"/>
      <c r="AM1055" s="1037"/>
      <c r="AN1055" s="1037"/>
      <c r="AO1055" s="1037"/>
      <c r="AP1055" s="1037"/>
    </row>
    <row r="1056" spans="1:42" s="226" customFormat="1">
      <c r="A1056" s="2060"/>
      <c r="B1056" s="1037"/>
      <c r="C1056" s="1037"/>
      <c r="D1056" s="1037"/>
      <c r="E1056" s="1037"/>
      <c r="F1056" s="1037"/>
      <c r="G1056" s="1037"/>
      <c r="H1056" s="1018"/>
      <c r="I1056" s="1037"/>
      <c r="J1056" s="1037"/>
      <c r="K1056" s="1037"/>
      <c r="L1056" s="1037"/>
      <c r="M1056" s="1037"/>
      <c r="N1056" s="1037"/>
      <c r="O1056" s="1037"/>
      <c r="P1056" s="1037"/>
      <c r="Q1056" s="1037"/>
      <c r="R1056" s="1037"/>
      <c r="S1056" s="1037"/>
      <c r="T1056" s="1037"/>
      <c r="U1056" s="1037"/>
      <c r="V1056" s="1037"/>
      <c r="W1056" s="1037"/>
      <c r="X1056" s="1037"/>
      <c r="Y1056" s="1037"/>
      <c r="Z1056" s="1037"/>
      <c r="AA1056" s="1037"/>
      <c r="AB1056" s="1037"/>
      <c r="AC1056" s="1037"/>
      <c r="AD1056" s="1037"/>
      <c r="AE1056" s="1037"/>
      <c r="AF1056" s="1037"/>
      <c r="AG1056" s="1037"/>
      <c r="AH1056" s="1037"/>
      <c r="AI1056" s="1037"/>
      <c r="AJ1056" s="1037"/>
      <c r="AK1056" s="1037"/>
      <c r="AL1056" s="1037"/>
      <c r="AM1056" s="1037"/>
      <c r="AN1056" s="1037"/>
      <c r="AO1056" s="1037"/>
      <c r="AP1056" s="1037"/>
    </row>
    <row r="1057" spans="1:42" s="226" customFormat="1">
      <c r="A1057" s="2060"/>
      <c r="B1057" s="1037"/>
      <c r="C1057" s="1037"/>
      <c r="D1057" s="1037"/>
      <c r="E1057" s="1037"/>
      <c r="F1057" s="1037"/>
      <c r="G1057" s="1037"/>
      <c r="H1057" s="1018"/>
      <c r="I1057" s="1037"/>
      <c r="J1057" s="1037"/>
      <c r="K1057" s="1037"/>
      <c r="L1057" s="1037"/>
      <c r="M1057" s="1037"/>
      <c r="N1057" s="1037"/>
      <c r="O1057" s="1037"/>
      <c r="P1057" s="1037"/>
      <c r="Q1057" s="1037"/>
      <c r="R1057" s="1037"/>
      <c r="S1057" s="1037"/>
      <c r="T1057" s="1037"/>
      <c r="U1057" s="1037"/>
      <c r="V1057" s="1037"/>
      <c r="W1057" s="1037"/>
      <c r="X1057" s="1037"/>
      <c r="Y1057" s="1037"/>
      <c r="Z1057" s="1037"/>
      <c r="AA1057" s="1037"/>
      <c r="AB1057" s="1037"/>
      <c r="AC1057" s="1037"/>
      <c r="AD1057" s="1037"/>
      <c r="AE1057" s="1037"/>
      <c r="AF1057" s="1037"/>
      <c r="AG1057" s="1037"/>
      <c r="AH1057" s="1037"/>
      <c r="AI1057" s="1037"/>
      <c r="AJ1057" s="1037"/>
      <c r="AK1057" s="1037"/>
      <c r="AL1057" s="1037"/>
      <c r="AM1057" s="1037"/>
      <c r="AN1057" s="1037"/>
      <c r="AO1057" s="1037"/>
      <c r="AP1057" s="1037"/>
    </row>
    <row r="1058" spans="1:42" s="226" customFormat="1">
      <c r="A1058" s="2060"/>
      <c r="B1058" s="1037"/>
      <c r="C1058" s="1037"/>
      <c r="D1058" s="1037"/>
      <c r="E1058" s="1037"/>
      <c r="F1058" s="1037"/>
      <c r="G1058" s="1037"/>
      <c r="H1058" s="1018"/>
      <c r="I1058" s="1037"/>
      <c r="J1058" s="1037"/>
      <c r="K1058" s="1037"/>
      <c r="L1058" s="1037"/>
      <c r="M1058" s="1037"/>
      <c r="N1058" s="1037"/>
      <c r="O1058" s="1037"/>
      <c r="P1058" s="1037"/>
      <c r="Q1058" s="1037"/>
      <c r="R1058" s="1037"/>
      <c r="S1058" s="1037"/>
      <c r="T1058" s="1037"/>
      <c r="U1058" s="1037"/>
      <c r="V1058" s="1037"/>
      <c r="W1058" s="1037"/>
      <c r="X1058" s="1037"/>
      <c r="Y1058" s="1037"/>
      <c r="Z1058" s="1037"/>
      <c r="AA1058" s="1037"/>
      <c r="AB1058" s="1037"/>
      <c r="AC1058" s="1037"/>
      <c r="AD1058" s="1037"/>
      <c r="AE1058" s="1037"/>
      <c r="AF1058" s="1037"/>
      <c r="AG1058" s="1037"/>
      <c r="AH1058" s="1037"/>
      <c r="AI1058" s="1037"/>
      <c r="AJ1058" s="1037"/>
      <c r="AK1058" s="1037"/>
      <c r="AL1058" s="1037"/>
      <c r="AM1058" s="1037"/>
      <c r="AN1058" s="1037"/>
      <c r="AO1058" s="1037"/>
      <c r="AP1058" s="1037"/>
    </row>
    <row r="1059" spans="1:42" s="226" customFormat="1">
      <c r="A1059" s="2060"/>
      <c r="B1059" s="1037"/>
      <c r="C1059" s="1037"/>
      <c r="D1059" s="1037"/>
      <c r="E1059" s="1037"/>
      <c r="F1059" s="1037"/>
      <c r="G1059" s="1037"/>
      <c r="H1059" s="1018"/>
      <c r="I1059" s="1037"/>
      <c r="J1059" s="1037"/>
      <c r="K1059" s="1037"/>
      <c r="L1059" s="1037"/>
      <c r="M1059" s="1037"/>
      <c r="N1059" s="1037"/>
      <c r="O1059" s="1037"/>
      <c r="P1059" s="1037"/>
      <c r="Q1059" s="1037"/>
      <c r="R1059" s="1037"/>
      <c r="S1059" s="1037"/>
      <c r="T1059" s="1037"/>
      <c r="U1059" s="1037"/>
      <c r="V1059" s="1037"/>
      <c r="W1059" s="1037"/>
      <c r="X1059" s="1037"/>
      <c r="Y1059" s="1037"/>
      <c r="Z1059" s="1037"/>
      <c r="AA1059" s="1037"/>
      <c r="AB1059" s="1037"/>
      <c r="AC1059" s="1037"/>
      <c r="AD1059" s="1037"/>
      <c r="AE1059" s="1037"/>
      <c r="AF1059" s="1037"/>
      <c r="AG1059" s="1037"/>
      <c r="AH1059" s="1037"/>
      <c r="AI1059" s="1037"/>
      <c r="AJ1059" s="1037"/>
      <c r="AK1059" s="1037"/>
      <c r="AL1059" s="1037"/>
      <c r="AM1059" s="1037"/>
      <c r="AN1059" s="1037"/>
      <c r="AO1059" s="1037"/>
      <c r="AP1059" s="1037"/>
    </row>
    <row r="1060" spans="1:42" s="226" customFormat="1">
      <c r="A1060" s="2060"/>
      <c r="B1060" s="1037"/>
      <c r="C1060" s="1037"/>
      <c r="D1060" s="1037"/>
      <c r="E1060" s="1037"/>
      <c r="F1060" s="1037"/>
      <c r="G1060" s="1037"/>
      <c r="H1060" s="1018"/>
      <c r="I1060" s="1037"/>
      <c r="J1060" s="1037"/>
      <c r="K1060" s="1037"/>
      <c r="L1060" s="1037"/>
      <c r="M1060" s="1037"/>
      <c r="N1060" s="1037"/>
      <c r="O1060" s="1037"/>
      <c r="P1060" s="1037"/>
      <c r="Q1060" s="1037"/>
      <c r="R1060" s="1037"/>
      <c r="S1060" s="1037"/>
      <c r="T1060" s="1037"/>
      <c r="U1060" s="1037"/>
      <c r="V1060" s="1037"/>
      <c r="W1060" s="1037"/>
      <c r="X1060" s="1037"/>
      <c r="Y1060" s="1037"/>
      <c r="Z1060" s="1037"/>
      <c r="AA1060" s="1037"/>
      <c r="AB1060" s="1037"/>
      <c r="AC1060" s="1037"/>
      <c r="AD1060" s="1037"/>
      <c r="AE1060" s="1037"/>
      <c r="AF1060" s="1037"/>
      <c r="AG1060" s="1037"/>
      <c r="AH1060" s="1037"/>
      <c r="AI1060" s="1037"/>
      <c r="AJ1060" s="1037"/>
      <c r="AK1060" s="1037"/>
      <c r="AL1060" s="1037"/>
      <c r="AM1060" s="1037"/>
      <c r="AN1060" s="1037"/>
      <c r="AO1060" s="1037"/>
      <c r="AP1060" s="1037"/>
    </row>
    <row r="1061" spans="1:42" s="226" customFormat="1">
      <c r="A1061" s="2060"/>
      <c r="B1061" s="1037"/>
      <c r="C1061" s="1037"/>
      <c r="D1061" s="1037"/>
      <c r="E1061" s="1037"/>
      <c r="F1061" s="1037"/>
      <c r="G1061" s="1037"/>
      <c r="H1061" s="1018"/>
      <c r="I1061" s="1037"/>
      <c r="J1061" s="1037"/>
      <c r="K1061" s="1037"/>
      <c r="L1061" s="1037"/>
      <c r="M1061" s="1037"/>
      <c r="N1061" s="1037"/>
      <c r="O1061" s="1037"/>
      <c r="P1061" s="1037"/>
      <c r="Q1061" s="1037"/>
      <c r="R1061" s="1037"/>
      <c r="S1061" s="1037"/>
      <c r="T1061" s="1037"/>
      <c r="U1061" s="1037"/>
      <c r="V1061" s="1037"/>
      <c r="W1061" s="1037"/>
      <c r="X1061" s="1037"/>
      <c r="Y1061" s="1037"/>
      <c r="Z1061" s="1037"/>
      <c r="AA1061" s="1037"/>
      <c r="AB1061" s="1037"/>
      <c r="AC1061" s="1037"/>
      <c r="AD1061" s="1037"/>
      <c r="AE1061" s="1037"/>
      <c r="AF1061" s="1037"/>
      <c r="AG1061" s="1037"/>
      <c r="AH1061" s="1037"/>
      <c r="AI1061" s="1037"/>
      <c r="AJ1061" s="1037"/>
      <c r="AK1061" s="1037"/>
      <c r="AL1061" s="1037"/>
      <c r="AM1061" s="1037"/>
      <c r="AN1061" s="1037"/>
      <c r="AO1061" s="1037"/>
      <c r="AP1061" s="1037"/>
    </row>
    <row r="1062" spans="1:42" s="226" customFormat="1">
      <c r="A1062" s="2060"/>
      <c r="B1062" s="1037"/>
      <c r="C1062" s="1037"/>
      <c r="D1062" s="1037"/>
      <c r="E1062" s="1037"/>
      <c r="F1062" s="1037"/>
      <c r="G1062" s="1037"/>
      <c r="H1062" s="1018"/>
      <c r="I1062" s="1037"/>
      <c r="J1062" s="1037"/>
      <c r="K1062" s="1037"/>
      <c r="L1062" s="1037"/>
      <c r="M1062" s="1037"/>
      <c r="N1062" s="1037"/>
      <c r="O1062" s="1037"/>
      <c r="P1062" s="1037"/>
      <c r="Q1062" s="1037"/>
      <c r="R1062" s="1037"/>
      <c r="S1062" s="1037"/>
      <c r="T1062" s="1037"/>
      <c r="U1062" s="1037"/>
      <c r="V1062" s="1037"/>
      <c r="W1062" s="1037"/>
      <c r="X1062" s="1037"/>
      <c r="Y1062" s="1037"/>
      <c r="Z1062" s="1037"/>
      <c r="AA1062" s="1037"/>
      <c r="AB1062" s="1037"/>
      <c r="AC1062" s="1037"/>
      <c r="AD1062" s="1037"/>
      <c r="AE1062" s="1037"/>
      <c r="AF1062" s="1037"/>
      <c r="AG1062" s="1037"/>
      <c r="AH1062" s="1037"/>
      <c r="AI1062" s="1037"/>
      <c r="AJ1062" s="1037"/>
      <c r="AK1062" s="1037"/>
      <c r="AL1062" s="1037"/>
      <c r="AM1062" s="1037"/>
      <c r="AN1062" s="1037"/>
      <c r="AO1062" s="1037"/>
      <c r="AP1062" s="1037"/>
    </row>
    <row r="1063" spans="1:42" s="226" customFormat="1">
      <c r="A1063" s="2060"/>
      <c r="B1063" s="1037"/>
      <c r="C1063" s="1037"/>
      <c r="D1063" s="1037"/>
      <c r="E1063" s="1037"/>
      <c r="F1063" s="1037"/>
      <c r="G1063" s="1037"/>
      <c r="H1063" s="1018"/>
      <c r="I1063" s="1037"/>
      <c r="J1063" s="1037"/>
      <c r="K1063" s="1037"/>
      <c r="L1063" s="1037"/>
      <c r="M1063" s="1037"/>
      <c r="N1063" s="1037"/>
      <c r="O1063" s="1037"/>
      <c r="P1063" s="1037"/>
      <c r="Q1063" s="1037"/>
      <c r="R1063" s="1037"/>
      <c r="S1063" s="1037"/>
      <c r="T1063" s="1037"/>
      <c r="U1063" s="1037"/>
      <c r="V1063" s="1037"/>
      <c r="W1063" s="1037"/>
      <c r="X1063" s="1037"/>
      <c r="Y1063" s="1037"/>
      <c r="Z1063" s="1037"/>
      <c r="AA1063" s="1037"/>
      <c r="AB1063" s="1037"/>
      <c r="AC1063" s="1037"/>
      <c r="AD1063" s="1037"/>
      <c r="AE1063" s="1037"/>
      <c r="AF1063" s="1037"/>
      <c r="AG1063" s="1037"/>
      <c r="AH1063" s="1037"/>
      <c r="AI1063" s="1037"/>
      <c r="AJ1063" s="1037"/>
      <c r="AK1063" s="1037"/>
      <c r="AL1063" s="1037"/>
      <c r="AM1063" s="1037"/>
      <c r="AN1063" s="1037"/>
      <c r="AO1063" s="1037"/>
      <c r="AP1063" s="1037"/>
    </row>
    <row r="1064" spans="1:42" s="226" customFormat="1">
      <c r="A1064" s="2060"/>
      <c r="B1064" s="1037"/>
      <c r="C1064" s="1037"/>
      <c r="D1064" s="1037"/>
      <c r="E1064" s="1037"/>
      <c r="F1064" s="1037"/>
      <c r="G1064" s="1037"/>
      <c r="H1064" s="1018"/>
      <c r="I1064" s="1037"/>
      <c r="J1064" s="1037"/>
      <c r="K1064" s="1037"/>
      <c r="L1064" s="1037"/>
      <c r="M1064" s="1037"/>
      <c r="N1064" s="1037"/>
      <c r="O1064" s="1037"/>
      <c r="P1064" s="1037"/>
      <c r="Q1064" s="1037"/>
      <c r="R1064" s="1037"/>
      <c r="S1064" s="1037"/>
      <c r="T1064" s="1037"/>
      <c r="U1064" s="1037"/>
      <c r="V1064" s="1037"/>
      <c r="W1064" s="1037"/>
      <c r="X1064" s="1037"/>
      <c r="Y1064" s="1037"/>
      <c r="Z1064" s="1037"/>
      <c r="AA1064" s="1037"/>
      <c r="AB1064" s="1037"/>
      <c r="AC1064" s="1037"/>
      <c r="AD1064" s="1037"/>
      <c r="AE1064" s="1037"/>
      <c r="AF1064" s="1037"/>
      <c r="AG1064" s="1037"/>
      <c r="AH1064" s="1037"/>
      <c r="AI1064" s="1037"/>
      <c r="AJ1064" s="1037"/>
      <c r="AK1064" s="1037"/>
      <c r="AL1064" s="1037"/>
      <c r="AM1064" s="1037"/>
      <c r="AN1064" s="1037"/>
      <c r="AO1064" s="1037"/>
      <c r="AP1064" s="1037"/>
    </row>
    <row r="1065" spans="1:42" s="226" customFormat="1">
      <c r="A1065" s="2060"/>
      <c r="B1065" s="1037"/>
      <c r="C1065" s="1037"/>
      <c r="D1065" s="1037"/>
      <c r="E1065" s="1037"/>
      <c r="F1065" s="1037"/>
      <c r="G1065" s="1037"/>
      <c r="H1065" s="1018"/>
      <c r="I1065" s="1037"/>
      <c r="J1065" s="1037"/>
      <c r="K1065" s="1037"/>
      <c r="L1065" s="1037"/>
      <c r="M1065" s="1037"/>
      <c r="N1065" s="1037"/>
      <c r="O1065" s="1037"/>
      <c r="P1065" s="1037"/>
      <c r="Q1065" s="1037"/>
      <c r="R1065" s="1037"/>
      <c r="S1065" s="1037"/>
      <c r="T1065" s="1037"/>
      <c r="U1065" s="1037"/>
      <c r="V1065" s="1037"/>
      <c r="W1065" s="1037"/>
      <c r="X1065" s="1037"/>
      <c r="Y1065" s="1037"/>
      <c r="Z1065" s="1037"/>
      <c r="AA1065" s="1037"/>
      <c r="AB1065" s="1037"/>
      <c r="AC1065" s="1037"/>
      <c r="AD1065" s="1037"/>
      <c r="AE1065" s="1037"/>
      <c r="AF1065" s="1037"/>
      <c r="AG1065" s="1037"/>
      <c r="AH1065" s="1037"/>
      <c r="AI1065" s="1037"/>
      <c r="AJ1065" s="1037"/>
      <c r="AK1065" s="1037"/>
      <c r="AL1065" s="1037"/>
      <c r="AM1065" s="1037"/>
      <c r="AN1065" s="1037"/>
      <c r="AO1065" s="1037"/>
      <c r="AP1065" s="1037"/>
    </row>
    <row r="1066" spans="1:42" s="226" customFormat="1">
      <c r="A1066" s="2060"/>
      <c r="B1066" s="1037"/>
      <c r="C1066" s="1037"/>
      <c r="D1066" s="1037"/>
      <c r="E1066" s="1037"/>
      <c r="F1066" s="1037"/>
      <c r="G1066" s="1037"/>
      <c r="H1066" s="1018"/>
      <c r="I1066" s="1037"/>
      <c r="J1066" s="1037"/>
      <c r="K1066" s="1037"/>
      <c r="L1066" s="1037"/>
      <c r="M1066" s="1037"/>
      <c r="N1066" s="1037"/>
      <c r="O1066" s="1037"/>
      <c r="P1066" s="1037"/>
      <c r="Q1066" s="1037"/>
      <c r="R1066" s="1037"/>
      <c r="S1066" s="1037"/>
      <c r="T1066" s="1037"/>
      <c r="U1066" s="1037"/>
      <c r="V1066" s="1037"/>
      <c r="W1066" s="1037"/>
      <c r="X1066" s="1037"/>
      <c r="Y1066" s="1037"/>
      <c r="Z1066" s="1037"/>
      <c r="AA1066" s="1037"/>
      <c r="AB1066" s="1037"/>
      <c r="AC1066" s="1037"/>
      <c r="AD1066" s="1037"/>
      <c r="AE1066" s="1037"/>
      <c r="AF1066" s="1037"/>
      <c r="AG1066" s="1037"/>
      <c r="AH1066" s="1037"/>
      <c r="AI1066" s="1037"/>
      <c r="AJ1066" s="1037"/>
      <c r="AK1066" s="1037"/>
      <c r="AL1066" s="1037"/>
      <c r="AM1066" s="1037"/>
      <c r="AN1066" s="1037"/>
      <c r="AO1066" s="1037"/>
      <c r="AP1066" s="1037"/>
    </row>
    <row r="1067" spans="1:42" s="226" customFormat="1">
      <c r="A1067" s="2060"/>
      <c r="B1067" s="1037"/>
      <c r="C1067" s="1037"/>
      <c r="D1067" s="1037"/>
      <c r="E1067" s="1037"/>
      <c r="F1067" s="1037"/>
      <c r="G1067" s="1037"/>
      <c r="H1067" s="1018"/>
      <c r="I1067" s="1037"/>
      <c r="J1067" s="1037"/>
      <c r="K1067" s="1037"/>
      <c r="L1067" s="1037"/>
      <c r="M1067" s="1037"/>
      <c r="N1067" s="1037"/>
      <c r="O1067" s="1037"/>
      <c r="P1067" s="1037"/>
      <c r="Q1067" s="1037"/>
      <c r="R1067" s="1037"/>
      <c r="S1067" s="1037"/>
      <c r="T1067" s="1037"/>
      <c r="U1067" s="1037"/>
      <c r="V1067" s="1037"/>
      <c r="W1067" s="1037"/>
      <c r="X1067" s="1037"/>
      <c r="Y1067" s="1037"/>
      <c r="Z1067" s="1037"/>
      <c r="AA1067" s="1037"/>
      <c r="AB1067" s="1037"/>
      <c r="AC1067" s="1037"/>
      <c r="AD1067" s="1037"/>
      <c r="AE1067" s="1037"/>
      <c r="AF1067" s="1037"/>
      <c r="AG1067" s="1037"/>
      <c r="AH1067" s="1037"/>
      <c r="AI1067" s="1037"/>
      <c r="AJ1067" s="1037"/>
      <c r="AK1067" s="1037"/>
      <c r="AL1067" s="1037"/>
      <c r="AM1067" s="1037"/>
      <c r="AN1067" s="1037"/>
      <c r="AO1067" s="1037"/>
      <c r="AP1067" s="1037"/>
    </row>
    <row r="1068" spans="1:42" s="226" customFormat="1">
      <c r="A1068" s="2060"/>
      <c r="B1068" s="1037"/>
      <c r="C1068" s="1037"/>
      <c r="D1068" s="1037"/>
      <c r="E1068" s="1037"/>
      <c r="F1068" s="1037"/>
      <c r="G1068" s="1037"/>
      <c r="H1068" s="1018"/>
      <c r="I1068" s="1037"/>
      <c r="J1068" s="1037"/>
      <c r="K1068" s="1037"/>
      <c r="L1068" s="1037"/>
      <c r="M1068" s="1037"/>
      <c r="N1068" s="1037"/>
      <c r="O1068" s="1037"/>
      <c r="P1068" s="1037"/>
      <c r="Q1068" s="1037"/>
      <c r="R1068" s="1037"/>
      <c r="S1068" s="1037"/>
      <c r="T1068" s="1037"/>
      <c r="U1068" s="1037"/>
      <c r="V1068" s="1037"/>
      <c r="W1068" s="1037"/>
      <c r="X1068" s="1037"/>
      <c r="Y1068" s="1037"/>
      <c r="Z1068" s="1037"/>
      <c r="AA1068" s="1037"/>
      <c r="AB1068" s="1037"/>
      <c r="AC1068" s="1037"/>
      <c r="AD1068" s="1037"/>
      <c r="AE1068" s="1037"/>
      <c r="AF1068" s="1037"/>
      <c r="AG1068" s="1037"/>
      <c r="AH1068" s="1037"/>
      <c r="AI1068" s="1037"/>
      <c r="AJ1068" s="1037"/>
      <c r="AK1068" s="1037"/>
      <c r="AL1068" s="1037"/>
      <c r="AM1068" s="1037"/>
      <c r="AN1068" s="1037"/>
      <c r="AO1068" s="1037"/>
      <c r="AP1068" s="1037"/>
    </row>
    <row r="1069" spans="1:42" s="226" customFormat="1">
      <c r="A1069" s="2060"/>
      <c r="B1069" s="1037"/>
      <c r="C1069" s="1037"/>
      <c r="D1069" s="1037"/>
      <c r="E1069" s="1037"/>
      <c r="F1069" s="1037"/>
      <c r="G1069" s="1037"/>
      <c r="H1069" s="1018"/>
      <c r="I1069" s="1037"/>
      <c r="J1069" s="1037"/>
      <c r="K1069" s="1037"/>
      <c r="L1069" s="1037"/>
      <c r="M1069" s="1037"/>
      <c r="N1069" s="1037"/>
      <c r="O1069" s="1037"/>
      <c r="P1069" s="1037"/>
      <c r="Q1069" s="1037"/>
      <c r="R1069" s="1037"/>
      <c r="S1069" s="1037"/>
      <c r="T1069" s="1037"/>
      <c r="U1069" s="1037"/>
      <c r="V1069" s="1037"/>
      <c r="W1069" s="1037"/>
      <c r="X1069" s="1037"/>
      <c r="Y1069" s="1037"/>
      <c r="Z1069" s="1037"/>
      <c r="AA1069" s="1037"/>
      <c r="AB1069" s="1037"/>
      <c r="AC1069" s="1037"/>
      <c r="AD1069" s="1037"/>
      <c r="AE1069" s="1037"/>
      <c r="AF1069" s="1037"/>
      <c r="AG1069" s="1037"/>
      <c r="AH1069" s="1037"/>
      <c r="AI1069" s="1037"/>
      <c r="AJ1069" s="1037"/>
      <c r="AK1069" s="1037"/>
      <c r="AL1069" s="1037"/>
      <c r="AM1069" s="1037"/>
      <c r="AN1069" s="1037"/>
      <c r="AO1069" s="1037"/>
      <c r="AP1069" s="1037"/>
    </row>
    <row r="1070" spans="1:42" s="226" customFormat="1">
      <c r="A1070" s="2060"/>
      <c r="B1070" s="1037"/>
      <c r="C1070" s="1037"/>
      <c r="D1070" s="1037"/>
      <c r="E1070" s="1037"/>
      <c r="F1070" s="1037"/>
      <c r="G1070" s="1037"/>
      <c r="H1070" s="1018"/>
      <c r="I1070" s="1037"/>
      <c r="J1070" s="1037"/>
      <c r="K1070" s="1037"/>
      <c r="L1070" s="1037"/>
      <c r="M1070" s="1037"/>
      <c r="N1070" s="1037"/>
      <c r="O1070" s="1037"/>
      <c r="P1070" s="1037"/>
      <c r="Q1070" s="1037"/>
      <c r="R1070" s="1037"/>
      <c r="S1070" s="1037"/>
      <c r="T1070" s="1037"/>
      <c r="U1070" s="1037"/>
      <c r="V1070" s="1037"/>
      <c r="W1070" s="1037"/>
      <c r="X1070" s="1037"/>
      <c r="Y1070" s="1037"/>
      <c r="Z1070" s="1037"/>
      <c r="AA1070" s="1037"/>
      <c r="AB1070" s="1037"/>
      <c r="AC1070" s="1037"/>
      <c r="AD1070" s="1037"/>
      <c r="AE1070" s="1037"/>
      <c r="AF1070" s="1037"/>
      <c r="AG1070" s="1037"/>
      <c r="AH1070" s="1037"/>
      <c r="AI1070" s="1037"/>
      <c r="AJ1070" s="1037"/>
      <c r="AK1070" s="1037"/>
      <c r="AL1070" s="1037"/>
      <c r="AM1070" s="1037"/>
      <c r="AN1070" s="1037"/>
      <c r="AO1070" s="1037"/>
      <c r="AP1070" s="1037"/>
    </row>
    <row r="1071" spans="1:42" s="226" customFormat="1">
      <c r="A1071" s="2060"/>
      <c r="B1071" s="1037"/>
      <c r="C1071" s="1037"/>
      <c r="D1071" s="1037"/>
      <c r="E1071" s="1037"/>
      <c r="F1071" s="1037"/>
      <c r="G1071" s="1037"/>
      <c r="H1071" s="1018"/>
      <c r="I1071" s="1037"/>
      <c r="J1071" s="1037"/>
      <c r="K1071" s="1037"/>
      <c r="L1071" s="1037"/>
      <c r="M1071" s="1037"/>
      <c r="N1071" s="1037"/>
      <c r="O1071" s="1037"/>
      <c r="P1071" s="1037"/>
      <c r="Q1071" s="1037"/>
      <c r="R1071" s="1037"/>
      <c r="S1071" s="1037"/>
      <c r="T1071" s="1037"/>
      <c r="U1071" s="1037"/>
      <c r="V1071" s="1037"/>
      <c r="W1071" s="1037"/>
      <c r="X1071" s="1037"/>
      <c r="Y1071" s="1037"/>
      <c r="Z1071" s="1037"/>
      <c r="AA1071" s="1037"/>
      <c r="AB1071" s="1037"/>
      <c r="AC1071" s="1037"/>
      <c r="AD1071" s="1037"/>
      <c r="AE1071" s="1037"/>
      <c r="AF1071" s="1037"/>
      <c r="AG1071" s="1037"/>
      <c r="AH1071" s="1037"/>
      <c r="AI1071" s="1037"/>
      <c r="AJ1071" s="1037"/>
      <c r="AK1071" s="1037"/>
      <c r="AL1071" s="1037"/>
      <c r="AM1071" s="1037"/>
      <c r="AN1071" s="1037"/>
      <c r="AO1071" s="1037"/>
      <c r="AP1071" s="1037"/>
    </row>
    <row r="1072" spans="1:42" s="226" customFormat="1">
      <c r="A1072" s="2060"/>
      <c r="B1072" s="1037"/>
      <c r="C1072" s="1037"/>
      <c r="D1072" s="1037"/>
      <c r="E1072" s="1037"/>
      <c r="F1072" s="1037"/>
      <c r="G1072" s="1037"/>
      <c r="H1072" s="1018"/>
      <c r="I1072" s="1037"/>
      <c r="J1072" s="1037"/>
      <c r="K1072" s="1037"/>
      <c r="L1072" s="1037"/>
      <c r="M1072" s="1037"/>
      <c r="N1072" s="1037"/>
      <c r="O1072" s="1037"/>
      <c r="P1072" s="1037"/>
      <c r="Q1072" s="1037"/>
      <c r="R1072" s="1037"/>
      <c r="S1072" s="1037"/>
      <c r="T1072" s="1037"/>
      <c r="U1072" s="1037"/>
      <c r="V1072" s="1037"/>
      <c r="W1072" s="1037"/>
      <c r="X1072" s="1037"/>
      <c r="Y1072" s="1037"/>
      <c r="Z1072" s="1037"/>
      <c r="AA1072" s="1037"/>
      <c r="AB1072" s="1037"/>
      <c r="AC1072" s="1037"/>
      <c r="AD1072" s="1037"/>
      <c r="AE1072" s="1037"/>
      <c r="AF1072" s="1037"/>
      <c r="AG1072" s="1037"/>
      <c r="AH1072" s="1037"/>
      <c r="AI1072" s="1037"/>
      <c r="AJ1072" s="1037"/>
      <c r="AK1072" s="1037"/>
      <c r="AL1072" s="1037"/>
      <c r="AM1072" s="1037"/>
      <c r="AN1072" s="1037"/>
      <c r="AO1072" s="1037"/>
      <c r="AP1072" s="1037"/>
    </row>
    <row r="1073" spans="1:42" s="226" customFormat="1">
      <c r="A1073" s="2060"/>
      <c r="B1073" s="1037"/>
      <c r="C1073" s="1037"/>
      <c r="D1073" s="1037"/>
      <c r="E1073" s="1037"/>
      <c r="F1073" s="1037"/>
      <c r="G1073" s="1037"/>
      <c r="H1073" s="1018"/>
      <c r="I1073" s="1037"/>
      <c r="J1073" s="1037"/>
      <c r="K1073" s="1037"/>
      <c r="L1073" s="1037"/>
      <c r="M1073" s="1037"/>
      <c r="N1073" s="1037"/>
      <c r="O1073" s="1037"/>
      <c r="P1073" s="1037"/>
      <c r="Q1073" s="1037"/>
      <c r="R1073" s="1037"/>
      <c r="S1073" s="1037"/>
      <c r="T1073" s="1037"/>
      <c r="U1073" s="1037"/>
      <c r="V1073" s="1037"/>
      <c r="W1073" s="1037"/>
      <c r="X1073" s="1037"/>
      <c r="Y1073" s="1037"/>
      <c r="Z1073" s="1037"/>
      <c r="AA1073" s="1037"/>
      <c r="AB1073" s="1037"/>
      <c r="AC1073" s="1037"/>
      <c r="AD1073" s="1037"/>
      <c r="AE1073" s="1037"/>
      <c r="AF1073" s="1037"/>
      <c r="AG1073" s="1037"/>
      <c r="AH1073" s="1037"/>
      <c r="AI1073" s="1037"/>
      <c r="AJ1073" s="1037"/>
      <c r="AK1073" s="1037"/>
      <c r="AL1073" s="1037"/>
      <c r="AM1073" s="1037"/>
      <c r="AN1073" s="1037"/>
      <c r="AO1073" s="1037"/>
      <c r="AP1073" s="1037"/>
    </row>
    <row r="1074" spans="1:42" s="226" customFormat="1">
      <c r="A1074" s="2060"/>
      <c r="B1074" s="1037"/>
      <c r="C1074" s="1037"/>
      <c r="D1074" s="1037"/>
      <c r="E1074" s="1037"/>
      <c r="F1074" s="1037"/>
      <c r="G1074" s="1037"/>
      <c r="H1074" s="1018"/>
      <c r="I1074" s="1037"/>
      <c r="J1074" s="1037"/>
      <c r="K1074" s="1037"/>
      <c r="L1074" s="1037"/>
      <c r="M1074" s="1037"/>
      <c r="N1074" s="1037"/>
      <c r="O1074" s="1037"/>
      <c r="P1074" s="1037"/>
      <c r="Q1074" s="1037"/>
      <c r="R1074" s="1037"/>
      <c r="S1074" s="1037"/>
      <c r="T1074" s="1037"/>
      <c r="U1074" s="1037"/>
      <c r="V1074" s="1037"/>
      <c r="W1074" s="1037"/>
      <c r="X1074" s="1037"/>
      <c r="Y1074" s="1037"/>
      <c r="Z1074" s="1037"/>
      <c r="AA1074" s="1037"/>
      <c r="AB1074" s="1037"/>
      <c r="AC1074" s="1037"/>
      <c r="AD1074" s="1037"/>
      <c r="AE1074" s="1037"/>
      <c r="AF1074" s="1037"/>
      <c r="AG1074" s="1037"/>
      <c r="AH1074" s="1037"/>
      <c r="AI1074" s="1037"/>
      <c r="AJ1074" s="1037"/>
      <c r="AK1074" s="1037"/>
      <c r="AL1074" s="1037"/>
      <c r="AM1074" s="1037"/>
      <c r="AN1074" s="1037"/>
      <c r="AO1074" s="1037"/>
      <c r="AP1074" s="1037"/>
    </row>
    <row r="1075" spans="1:42" s="226" customFormat="1">
      <c r="A1075" s="2060"/>
      <c r="B1075" s="1037"/>
      <c r="C1075" s="1037"/>
      <c r="D1075" s="1037"/>
      <c r="E1075" s="1037"/>
      <c r="F1075" s="1037"/>
      <c r="G1075" s="1037"/>
      <c r="H1075" s="1018"/>
      <c r="I1075" s="1037"/>
      <c r="J1075" s="1037"/>
      <c r="K1075" s="1037"/>
      <c r="L1075" s="1037"/>
      <c r="M1075" s="1037"/>
      <c r="N1075" s="1037"/>
      <c r="O1075" s="1037"/>
      <c r="P1075" s="1037"/>
      <c r="Q1075" s="1037"/>
      <c r="R1075" s="1037"/>
      <c r="S1075" s="1037"/>
      <c r="T1075" s="1037"/>
      <c r="U1075" s="1037"/>
      <c r="V1075" s="1037"/>
      <c r="W1075" s="1037"/>
      <c r="X1075" s="1037"/>
      <c r="Y1075" s="1037"/>
      <c r="Z1075" s="1037"/>
      <c r="AA1075" s="1037"/>
      <c r="AB1075" s="1037"/>
      <c r="AC1075" s="1037"/>
      <c r="AD1075" s="1037"/>
      <c r="AE1075" s="1037"/>
      <c r="AF1075" s="1037"/>
      <c r="AG1075" s="1037"/>
      <c r="AH1075" s="1037"/>
      <c r="AI1075" s="1037"/>
      <c r="AJ1075" s="1037"/>
      <c r="AK1075" s="1037"/>
      <c r="AL1075" s="1037"/>
      <c r="AM1075" s="1037"/>
      <c r="AN1075" s="1037"/>
      <c r="AO1075" s="1037"/>
      <c r="AP1075" s="1037"/>
    </row>
    <row r="1076" spans="1:42" s="226" customFormat="1">
      <c r="A1076" s="2060"/>
      <c r="B1076" s="1037"/>
      <c r="C1076" s="1037"/>
      <c r="D1076" s="1037"/>
      <c r="E1076" s="1037"/>
      <c r="F1076" s="1037"/>
      <c r="G1076" s="1037"/>
      <c r="H1076" s="1018"/>
      <c r="I1076" s="1037"/>
      <c r="J1076" s="1037"/>
      <c r="K1076" s="1037"/>
      <c r="L1076" s="1037"/>
      <c r="M1076" s="1037"/>
      <c r="N1076" s="1037"/>
      <c r="O1076" s="1037"/>
      <c r="P1076" s="1037"/>
      <c r="Q1076" s="1037"/>
      <c r="R1076" s="1037"/>
      <c r="S1076" s="1037"/>
      <c r="T1076" s="1037"/>
      <c r="U1076" s="1037"/>
      <c r="V1076" s="1037"/>
      <c r="W1076" s="1037"/>
      <c r="X1076" s="1037"/>
      <c r="Y1076" s="1037"/>
      <c r="Z1076" s="1037"/>
      <c r="AA1076" s="1037"/>
      <c r="AB1076" s="1037"/>
      <c r="AC1076" s="1037"/>
      <c r="AD1076" s="1037"/>
      <c r="AE1076" s="1037"/>
      <c r="AF1076" s="1037"/>
      <c r="AG1076" s="1037"/>
      <c r="AH1076" s="1037"/>
      <c r="AI1076" s="1037"/>
      <c r="AJ1076" s="1037"/>
      <c r="AK1076" s="1037"/>
      <c r="AL1076" s="1037"/>
      <c r="AM1076" s="1037"/>
      <c r="AN1076" s="1037"/>
      <c r="AO1076" s="1037"/>
      <c r="AP1076" s="1037"/>
    </row>
    <row r="1077" spans="1:42" s="226" customFormat="1">
      <c r="A1077" s="2060"/>
      <c r="B1077" s="1037"/>
      <c r="C1077" s="1037"/>
      <c r="D1077" s="1037"/>
      <c r="E1077" s="1037"/>
      <c r="F1077" s="1037"/>
      <c r="G1077" s="1037"/>
      <c r="H1077" s="1018"/>
      <c r="I1077" s="1037"/>
      <c r="J1077" s="1037"/>
      <c r="K1077" s="1037"/>
      <c r="L1077" s="1037"/>
      <c r="M1077" s="1037"/>
      <c r="N1077" s="1037"/>
      <c r="O1077" s="1037"/>
      <c r="P1077" s="1037"/>
      <c r="Q1077" s="1037"/>
      <c r="R1077" s="1037"/>
      <c r="S1077" s="1037"/>
      <c r="T1077" s="1037"/>
      <c r="U1077" s="1037"/>
      <c r="V1077" s="1037"/>
      <c r="W1077" s="1037"/>
      <c r="X1077" s="1037"/>
      <c r="Y1077" s="1037"/>
      <c r="Z1077" s="1037"/>
      <c r="AA1077" s="1037"/>
      <c r="AB1077" s="1037"/>
      <c r="AC1077" s="1037"/>
      <c r="AD1077" s="1037"/>
      <c r="AE1077" s="1037"/>
      <c r="AF1077" s="1037"/>
      <c r="AG1077" s="1037"/>
      <c r="AH1077" s="1037"/>
      <c r="AI1077" s="1037"/>
      <c r="AJ1077" s="1037"/>
      <c r="AK1077" s="1037"/>
      <c r="AL1077" s="1037"/>
      <c r="AM1077" s="1037"/>
      <c r="AN1077" s="1037"/>
      <c r="AO1077" s="1037"/>
      <c r="AP1077" s="1037"/>
    </row>
    <row r="1078" spans="1:42" s="226" customFormat="1">
      <c r="A1078" s="2060"/>
      <c r="B1078" s="1037"/>
      <c r="C1078" s="1037"/>
      <c r="D1078" s="1037"/>
      <c r="E1078" s="1037"/>
      <c r="F1078" s="1037"/>
      <c r="G1078" s="1037"/>
      <c r="H1078" s="1018"/>
      <c r="I1078" s="1037"/>
      <c r="J1078" s="1037"/>
      <c r="K1078" s="1037"/>
      <c r="L1078" s="1037"/>
      <c r="M1078" s="1037"/>
      <c r="N1078" s="1037"/>
      <c r="O1078" s="1037"/>
      <c r="P1078" s="1037"/>
      <c r="Q1078" s="1037"/>
      <c r="R1078" s="1037"/>
      <c r="S1078" s="1037"/>
      <c r="T1078" s="1037"/>
      <c r="U1078" s="1037"/>
      <c r="V1078" s="1037"/>
      <c r="W1078" s="1037"/>
      <c r="X1078" s="1037"/>
      <c r="Y1078" s="1037"/>
      <c r="Z1078" s="1037"/>
      <c r="AA1078" s="1037"/>
      <c r="AB1078" s="1037"/>
      <c r="AC1078" s="1037"/>
      <c r="AD1078" s="1037"/>
      <c r="AE1078" s="1037"/>
      <c r="AF1078" s="1037"/>
      <c r="AG1078" s="1037"/>
      <c r="AH1078" s="1037"/>
      <c r="AI1078" s="1037"/>
      <c r="AJ1078" s="1037"/>
      <c r="AK1078" s="1037"/>
      <c r="AL1078" s="1037"/>
      <c r="AM1078" s="1037"/>
      <c r="AN1078" s="1037"/>
      <c r="AO1078" s="1037"/>
      <c r="AP1078" s="1037"/>
    </row>
    <row r="1079" spans="1:42" s="226" customFormat="1">
      <c r="A1079" s="2060"/>
      <c r="B1079" s="1037"/>
      <c r="C1079" s="1037"/>
      <c r="D1079" s="1037"/>
      <c r="E1079" s="1037"/>
      <c r="F1079" s="1037"/>
      <c r="G1079" s="1037"/>
      <c r="H1079" s="1018"/>
      <c r="I1079" s="1037"/>
      <c r="J1079" s="1037"/>
      <c r="K1079" s="1037"/>
      <c r="L1079" s="1037"/>
      <c r="M1079" s="1037"/>
      <c r="N1079" s="1037"/>
      <c r="O1079" s="1037"/>
      <c r="P1079" s="1037"/>
      <c r="Q1079" s="1037"/>
      <c r="R1079" s="1037"/>
      <c r="S1079" s="1037"/>
      <c r="T1079" s="1037"/>
      <c r="U1079" s="1037"/>
      <c r="V1079" s="1037"/>
      <c r="W1079" s="1037"/>
      <c r="X1079" s="1037"/>
      <c r="Y1079" s="1037"/>
      <c r="Z1079" s="1037"/>
      <c r="AA1079" s="1037"/>
      <c r="AB1079" s="1037"/>
      <c r="AC1079" s="1037"/>
      <c r="AD1079" s="1037"/>
      <c r="AE1079" s="1037"/>
      <c r="AF1079" s="1037"/>
      <c r="AG1079" s="1037"/>
      <c r="AH1079" s="1037"/>
      <c r="AI1079" s="1037"/>
      <c r="AJ1079" s="1037"/>
      <c r="AK1079" s="1037"/>
      <c r="AL1079" s="1037"/>
      <c r="AM1079" s="1037"/>
      <c r="AN1079" s="1037"/>
      <c r="AO1079" s="1037"/>
      <c r="AP1079" s="1037"/>
    </row>
    <row r="1080" spans="1:42" s="226" customFormat="1">
      <c r="A1080" s="2060"/>
      <c r="B1080" s="1037"/>
      <c r="C1080" s="1037"/>
      <c r="D1080" s="1037"/>
      <c r="E1080" s="1037"/>
      <c r="F1080" s="1037"/>
      <c r="G1080" s="1037"/>
      <c r="H1080" s="1018"/>
      <c r="I1080" s="1037"/>
      <c r="J1080" s="1037"/>
      <c r="K1080" s="1037"/>
      <c r="L1080" s="1037"/>
      <c r="M1080" s="1037"/>
      <c r="N1080" s="1037"/>
      <c r="O1080" s="1037"/>
      <c r="P1080" s="1037"/>
      <c r="Q1080" s="1037"/>
      <c r="R1080" s="1037"/>
      <c r="S1080" s="1037"/>
      <c r="T1080" s="1037"/>
      <c r="U1080" s="1037"/>
      <c r="V1080" s="1037"/>
      <c r="W1080" s="1037"/>
      <c r="X1080" s="1037"/>
      <c r="Y1080" s="1037"/>
      <c r="Z1080" s="1037"/>
      <c r="AA1080" s="1037"/>
      <c r="AB1080" s="1037"/>
      <c r="AC1080" s="1037"/>
      <c r="AD1080" s="1037"/>
      <c r="AE1080" s="1037"/>
      <c r="AF1080" s="1037"/>
      <c r="AG1080" s="1037"/>
      <c r="AH1080" s="1037"/>
      <c r="AI1080" s="1037"/>
      <c r="AJ1080" s="1037"/>
      <c r="AK1080" s="1037"/>
      <c r="AL1080" s="1037"/>
      <c r="AM1080" s="1037"/>
      <c r="AN1080" s="1037"/>
      <c r="AO1080" s="1037"/>
      <c r="AP1080" s="1037"/>
    </row>
    <row r="1081" spans="1:42" s="226" customFormat="1">
      <c r="A1081" s="2060"/>
      <c r="B1081" s="1037"/>
      <c r="C1081" s="1037"/>
      <c r="D1081" s="1037"/>
      <c r="E1081" s="1037"/>
      <c r="F1081" s="1037"/>
      <c r="G1081" s="1037"/>
      <c r="H1081" s="1018"/>
      <c r="I1081" s="1037"/>
      <c r="J1081" s="1037"/>
      <c r="K1081" s="1037"/>
      <c r="L1081" s="1037"/>
      <c r="M1081" s="1037"/>
      <c r="N1081" s="1037"/>
      <c r="O1081" s="1037"/>
      <c r="P1081" s="1037"/>
      <c r="Q1081" s="1037"/>
      <c r="R1081" s="1037"/>
      <c r="S1081" s="1037"/>
      <c r="T1081" s="1037"/>
      <c r="U1081" s="1037"/>
      <c r="V1081" s="1037"/>
      <c r="W1081" s="1037"/>
      <c r="X1081" s="1037"/>
      <c r="Y1081" s="1037"/>
      <c r="Z1081" s="1037"/>
      <c r="AA1081" s="1037"/>
      <c r="AB1081" s="1037"/>
      <c r="AC1081" s="1037"/>
      <c r="AD1081" s="1037"/>
      <c r="AE1081" s="1037"/>
      <c r="AF1081" s="1037"/>
      <c r="AG1081" s="1037"/>
      <c r="AH1081" s="1037"/>
      <c r="AI1081" s="1037"/>
      <c r="AJ1081" s="1037"/>
      <c r="AK1081" s="1037"/>
      <c r="AL1081" s="1037"/>
      <c r="AM1081" s="1037"/>
      <c r="AN1081" s="1037"/>
      <c r="AO1081" s="1037"/>
      <c r="AP1081" s="1037"/>
    </row>
    <row r="1082" spans="1:42" s="226" customFormat="1">
      <c r="A1082" s="2060"/>
      <c r="B1082" s="1037"/>
      <c r="C1082" s="1037"/>
      <c r="D1082" s="1037"/>
      <c r="E1082" s="1037"/>
      <c r="F1082" s="1037"/>
      <c r="G1082" s="1037"/>
      <c r="H1082" s="1018"/>
      <c r="I1082" s="1037"/>
      <c r="J1082" s="1037"/>
      <c r="K1082" s="1037"/>
      <c r="L1082" s="1037"/>
      <c r="M1082" s="1037"/>
      <c r="N1082" s="1037"/>
      <c r="O1082" s="1037"/>
      <c r="P1082" s="1037"/>
      <c r="Q1082" s="1037"/>
      <c r="R1082" s="1037"/>
      <c r="S1082" s="1037"/>
      <c r="T1082" s="1037"/>
      <c r="U1082" s="1037"/>
      <c r="V1082" s="1037"/>
      <c r="W1082" s="1037"/>
      <c r="X1082" s="1037"/>
      <c r="Y1082" s="1037"/>
      <c r="Z1082" s="1037"/>
      <c r="AA1082" s="1037"/>
      <c r="AB1082" s="1037"/>
      <c r="AC1082" s="1037"/>
      <c r="AD1082" s="1037"/>
      <c r="AE1082" s="1037"/>
      <c r="AF1082" s="1037"/>
      <c r="AG1082" s="1037"/>
      <c r="AH1082" s="1037"/>
      <c r="AI1082" s="1037"/>
      <c r="AJ1082" s="1037"/>
      <c r="AK1082" s="1037"/>
      <c r="AL1082" s="1037"/>
      <c r="AM1082" s="1037"/>
      <c r="AN1082" s="1037"/>
      <c r="AO1082" s="1037"/>
      <c r="AP1082" s="1037"/>
    </row>
    <row r="1083" spans="1:42" s="226" customFormat="1">
      <c r="A1083" s="2060"/>
      <c r="B1083" s="1037"/>
      <c r="C1083" s="1037"/>
      <c r="D1083" s="1037"/>
      <c r="E1083" s="1037"/>
      <c r="F1083" s="1037"/>
      <c r="G1083" s="1037"/>
      <c r="H1083" s="1018"/>
      <c r="I1083" s="1037"/>
      <c r="J1083" s="1037"/>
      <c r="K1083" s="1037"/>
      <c r="L1083" s="1037"/>
      <c r="M1083" s="1037"/>
      <c r="N1083" s="1037"/>
      <c r="O1083" s="1037"/>
      <c r="P1083" s="1037"/>
      <c r="Q1083" s="1037"/>
      <c r="R1083" s="1037"/>
      <c r="S1083" s="1037"/>
      <c r="T1083" s="1037"/>
      <c r="U1083" s="1037"/>
      <c r="V1083" s="1037"/>
      <c r="W1083" s="1037"/>
      <c r="X1083" s="1037"/>
      <c r="Y1083" s="1037"/>
      <c r="Z1083" s="1037"/>
      <c r="AA1083" s="1037"/>
      <c r="AB1083" s="1037"/>
      <c r="AC1083" s="1037"/>
      <c r="AD1083" s="1037"/>
      <c r="AE1083" s="1037"/>
      <c r="AF1083" s="1037"/>
      <c r="AG1083" s="1037"/>
      <c r="AH1083" s="1037"/>
      <c r="AI1083" s="1037"/>
      <c r="AJ1083" s="1037"/>
      <c r="AK1083" s="1037"/>
      <c r="AL1083" s="1037"/>
      <c r="AM1083" s="1037"/>
      <c r="AN1083" s="1037"/>
      <c r="AO1083" s="1037"/>
      <c r="AP1083" s="1037"/>
    </row>
    <row r="1084" spans="1:42" s="226" customFormat="1">
      <c r="A1084" s="2060"/>
      <c r="B1084" s="1037"/>
      <c r="C1084" s="1037"/>
      <c r="D1084" s="1037"/>
      <c r="E1084" s="1037"/>
      <c r="F1084" s="1037"/>
      <c r="G1084" s="1037"/>
      <c r="H1084" s="1018"/>
      <c r="I1084" s="1037"/>
      <c r="J1084" s="1037"/>
      <c r="K1084" s="1037"/>
      <c r="L1084" s="1037"/>
      <c r="M1084" s="1037"/>
      <c r="N1084" s="1037"/>
      <c r="O1084" s="1037"/>
      <c r="P1084" s="1037"/>
      <c r="Q1084" s="1037"/>
      <c r="R1084" s="1037"/>
      <c r="S1084" s="1037"/>
      <c r="T1084" s="1037"/>
      <c r="U1084" s="1037"/>
      <c r="V1084" s="1037"/>
      <c r="W1084" s="1037"/>
      <c r="X1084" s="1037"/>
      <c r="Y1084" s="1037"/>
      <c r="Z1084" s="1037"/>
      <c r="AA1084" s="1037"/>
      <c r="AB1084" s="1037"/>
      <c r="AC1084" s="1037"/>
      <c r="AD1084" s="1037"/>
      <c r="AE1084" s="1037"/>
      <c r="AF1084" s="1037"/>
      <c r="AG1084" s="1037"/>
      <c r="AH1084" s="1037"/>
      <c r="AI1084" s="1037"/>
      <c r="AJ1084" s="1037"/>
      <c r="AK1084" s="1037"/>
      <c r="AL1084" s="1037"/>
      <c r="AM1084" s="1037"/>
      <c r="AN1084" s="1037"/>
      <c r="AO1084" s="1037"/>
      <c r="AP1084" s="1037"/>
    </row>
    <row r="1085" spans="1:42" s="226" customFormat="1">
      <c r="A1085" s="2060"/>
      <c r="B1085" s="1037"/>
      <c r="C1085" s="1037"/>
      <c r="D1085" s="1037"/>
      <c r="E1085" s="1037"/>
      <c r="F1085" s="1037"/>
      <c r="G1085" s="1037"/>
      <c r="H1085" s="1018"/>
      <c r="I1085" s="1037"/>
      <c r="J1085" s="1037"/>
      <c r="K1085" s="1037"/>
      <c r="L1085" s="1037"/>
      <c r="M1085" s="1037"/>
      <c r="N1085" s="1037"/>
      <c r="O1085" s="1037"/>
      <c r="P1085" s="1037"/>
      <c r="Q1085" s="1037"/>
      <c r="R1085" s="1037"/>
      <c r="S1085" s="1037"/>
      <c r="T1085" s="1037"/>
      <c r="U1085" s="1037"/>
      <c r="V1085" s="1037"/>
      <c r="W1085" s="1037"/>
      <c r="X1085" s="1037"/>
      <c r="Y1085" s="1037"/>
      <c r="Z1085" s="1037"/>
      <c r="AA1085" s="1037"/>
      <c r="AB1085" s="1037"/>
      <c r="AC1085" s="1037"/>
      <c r="AD1085" s="1037"/>
      <c r="AE1085" s="1037"/>
      <c r="AF1085" s="1037"/>
      <c r="AG1085" s="1037"/>
      <c r="AH1085" s="1037"/>
      <c r="AI1085" s="1037"/>
      <c r="AJ1085" s="1037"/>
      <c r="AK1085" s="1037"/>
      <c r="AL1085" s="1037"/>
      <c r="AM1085" s="1037"/>
      <c r="AN1085" s="1037"/>
      <c r="AO1085" s="1037"/>
      <c r="AP1085" s="1037"/>
    </row>
    <row r="1086" spans="1:42" s="226" customFormat="1">
      <c r="A1086" s="2060"/>
      <c r="B1086" s="1037"/>
      <c r="C1086" s="1037"/>
      <c r="D1086" s="1037"/>
      <c r="E1086" s="1037"/>
      <c r="F1086" s="1037"/>
      <c r="G1086" s="1037"/>
      <c r="H1086" s="1018"/>
      <c r="I1086" s="1037"/>
      <c r="J1086" s="1037"/>
      <c r="K1086" s="1037"/>
      <c r="L1086" s="1037"/>
      <c r="M1086" s="1037"/>
      <c r="N1086" s="1037"/>
      <c r="O1086" s="1037"/>
      <c r="P1086" s="1037"/>
      <c r="Q1086" s="1037"/>
      <c r="R1086" s="1037"/>
      <c r="S1086" s="1037"/>
      <c r="T1086" s="1037"/>
      <c r="U1086" s="1037"/>
      <c r="V1086" s="1037"/>
      <c r="W1086" s="1037"/>
      <c r="X1086" s="1037"/>
      <c r="Y1086" s="1037"/>
      <c r="Z1086" s="1037"/>
      <c r="AA1086" s="1037"/>
      <c r="AB1086" s="1037"/>
      <c r="AC1086" s="1037"/>
      <c r="AD1086" s="1037"/>
      <c r="AE1086" s="1037"/>
      <c r="AF1086" s="1037"/>
      <c r="AG1086" s="1037"/>
      <c r="AH1086" s="1037"/>
      <c r="AI1086" s="1037"/>
      <c r="AJ1086" s="1037"/>
      <c r="AK1086" s="1037"/>
      <c r="AL1086" s="1037"/>
      <c r="AM1086" s="1037"/>
      <c r="AN1086" s="1037"/>
      <c r="AO1086" s="1037"/>
      <c r="AP1086" s="1037"/>
    </row>
    <row r="1087" spans="1:42" s="226" customFormat="1">
      <c r="A1087" s="2060"/>
      <c r="B1087" s="1037"/>
      <c r="C1087" s="1037"/>
      <c r="D1087" s="1037"/>
      <c r="E1087" s="1037"/>
      <c r="F1087" s="1037"/>
      <c r="G1087" s="1037"/>
      <c r="H1087" s="1018"/>
      <c r="I1087" s="1037"/>
      <c r="J1087" s="1037"/>
      <c r="K1087" s="1037"/>
      <c r="L1087" s="1037"/>
      <c r="M1087" s="1037"/>
      <c r="N1087" s="1037"/>
      <c r="O1087" s="1037"/>
      <c r="P1087" s="1037"/>
      <c r="Q1087" s="1037"/>
      <c r="R1087" s="1037"/>
      <c r="S1087" s="1037"/>
      <c r="T1087" s="1037"/>
      <c r="U1087" s="1037"/>
      <c r="V1087" s="1037"/>
      <c r="W1087" s="1037"/>
      <c r="X1087" s="1037"/>
      <c r="Y1087" s="1037"/>
      <c r="Z1087" s="1037"/>
      <c r="AA1087" s="1037"/>
      <c r="AB1087" s="1037"/>
      <c r="AC1087" s="1037"/>
      <c r="AD1087" s="1037"/>
      <c r="AE1087" s="1037"/>
      <c r="AF1087" s="1037"/>
      <c r="AG1087" s="1037"/>
      <c r="AH1087" s="1037"/>
      <c r="AI1087" s="1037"/>
      <c r="AJ1087" s="1037"/>
      <c r="AK1087" s="1037"/>
      <c r="AL1087" s="1037"/>
      <c r="AM1087" s="1037"/>
      <c r="AN1087" s="1037"/>
      <c r="AO1087" s="1037"/>
      <c r="AP1087" s="1037"/>
    </row>
    <row r="1088" spans="1:42" s="226" customFormat="1">
      <c r="A1088" s="2060"/>
      <c r="B1088" s="1037"/>
      <c r="C1088" s="1037"/>
      <c r="D1088" s="1037"/>
      <c r="E1088" s="1037"/>
      <c r="F1088" s="1037"/>
      <c r="G1088" s="1037"/>
      <c r="H1088" s="1018"/>
      <c r="I1088" s="1037"/>
      <c r="J1088" s="1037"/>
      <c r="K1088" s="1037"/>
      <c r="L1088" s="1037"/>
      <c r="M1088" s="1037"/>
      <c r="N1088" s="1037"/>
      <c r="O1088" s="1037"/>
      <c r="P1088" s="1037"/>
      <c r="Q1088" s="1037"/>
      <c r="R1088" s="1037"/>
      <c r="S1088" s="1037"/>
      <c r="T1088" s="1037"/>
      <c r="U1088" s="1037"/>
      <c r="V1088" s="1037"/>
      <c r="W1088" s="1037"/>
      <c r="X1088" s="1037"/>
      <c r="Y1088" s="1037"/>
      <c r="Z1088" s="1037"/>
      <c r="AA1088" s="1037"/>
      <c r="AB1088" s="1037"/>
      <c r="AC1088" s="1037"/>
      <c r="AD1088" s="1037"/>
      <c r="AE1088" s="1037"/>
      <c r="AF1088" s="1037"/>
      <c r="AG1088" s="1037"/>
      <c r="AH1088" s="1037"/>
      <c r="AI1088" s="1037"/>
      <c r="AJ1088" s="1037"/>
      <c r="AK1088" s="1037"/>
      <c r="AL1088" s="1037"/>
      <c r="AM1088" s="1037"/>
      <c r="AN1088" s="1037"/>
      <c r="AO1088" s="1037"/>
      <c r="AP1088" s="1037"/>
    </row>
    <row r="1089" spans="1:42" s="226" customFormat="1">
      <c r="A1089" s="2060"/>
      <c r="B1089" s="1037"/>
      <c r="C1089" s="1037"/>
      <c r="D1089" s="1037"/>
      <c r="E1089" s="1037"/>
      <c r="F1089" s="1037"/>
      <c r="G1089" s="1037"/>
      <c r="H1089" s="1018"/>
      <c r="I1089" s="1037"/>
      <c r="J1089" s="1037"/>
      <c r="K1089" s="1037"/>
      <c r="L1089" s="1037"/>
      <c r="M1089" s="1037"/>
      <c r="N1089" s="1037"/>
      <c r="O1089" s="1037"/>
      <c r="P1089" s="1037"/>
      <c r="Q1089" s="1037"/>
      <c r="R1089" s="1037"/>
      <c r="S1089" s="1037"/>
      <c r="T1089" s="1037"/>
      <c r="U1089" s="1037"/>
      <c r="V1089" s="1037"/>
      <c r="W1089" s="1037"/>
      <c r="X1089" s="1037"/>
      <c r="Y1089" s="1037"/>
      <c r="Z1089" s="1037"/>
      <c r="AA1089" s="1037"/>
      <c r="AB1089" s="1037"/>
      <c r="AC1089" s="1037"/>
      <c r="AD1089" s="1037"/>
      <c r="AE1089" s="1037"/>
      <c r="AF1089" s="1037"/>
      <c r="AG1089" s="1037"/>
      <c r="AH1089" s="1037"/>
      <c r="AI1089" s="1037"/>
      <c r="AJ1089" s="1037"/>
      <c r="AK1089" s="1037"/>
      <c r="AL1089" s="1037"/>
      <c r="AM1089" s="1037"/>
      <c r="AN1089" s="1037"/>
      <c r="AO1089" s="1037"/>
      <c r="AP1089" s="1037"/>
    </row>
    <row r="1090" spans="1:42" s="226" customFormat="1">
      <c r="A1090" s="2060"/>
      <c r="B1090" s="1037"/>
      <c r="C1090" s="1037"/>
      <c r="D1090" s="1037"/>
      <c r="E1090" s="1037"/>
      <c r="F1090" s="1037"/>
      <c r="G1090" s="1037"/>
      <c r="H1090" s="1018"/>
      <c r="I1090" s="1037"/>
      <c r="J1090" s="1037"/>
      <c r="K1090" s="1037"/>
      <c r="L1090" s="1037"/>
      <c r="M1090" s="1037"/>
      <c r="N1090" s="1037"/>
      <c r="O1090" s="1037"/>
      <c r="P1090" s="1037"/>
      <c r="Q1090" s="1037"/>
      <c r="R1090" s="1037"/>
      <c r="S1090" s="1037"/>
      <c r="T1090" s="1037"/>
      <c r="U1090" s="1037"/>
      <c r="V1090" s="1037"/>
      <c r="W1090" s="1037"/>
      <c r="X1090" s="1037"/>
      <c r="Y1090" s="1037"/>
      <c r="Z1090" s="1037"/>
      <c r="AA1090" s="1037"/>
      <c r="AB1090" s="1037"/>
      <c r="AC1090" s="1037"/>
      <c r="AD1090" s="1037"/>
      <c r="AE1090" s="1037"/>
      <c r="AF1090" s="1037"/>
      <c r="AG1090" s="1037"/>
      <c r="AH1090" s="1037"/>
      <c r="AI1090" s="1037"/>
      <c r="AJ1090" s="1037"/>
      <c r="AK1090" s="1037"/>
      <c r="AL1090" s="1037"/>
      <c r="AM1090" s="1037"/>
      <c r="AN1090" s="1037"/>
      <c r="AO1090" s="1037"/>
      <c r="AP1090" s="1037"/>
    </row>
    <row r="1091" spans="1:42" s="226" customFormat="1">
      <c r="A1091" s="2060"/>
      <c r="B1091" s="1037"/>
      <c r="C1091" s="1037"/>
      <c r="D1091" s="1037"/>
      <c r="E1091" s="1037"/>
      <c r="F1091" s="1037"/>
      <c r="G1091" s="1037"/>
      <c r="H1091" s="1018"/>
      <c r="I1091" s="1037"/>
      <c r="J1091" s="1037"/>
      <c r="K1091" s="1037"/>
      <c r="L1091" s="1037"/>
      <c r="M1091" s="1037"/>
      <c r="N1091" s="1037"/>
      <c r="O1091" s="1037"/>
      <c r="P1091" s="1037"/>
      <c r="Q1091" s="1037"/>
      <c r="R1091" s="1037"/>
      <c r="S1091" s="1037"/>
      <c r="T1091" s="1037"/>
      <c r="U1091" s="1037"/>
      <c r="V1091" s="1037"/>
      <c r="W1091" s="1037"/>
      <c r="X1091" s="1037"/>
      <c r="Y1091" s="1037"/>
      <c r="Z1091" s="1037"/>
      <c r="AA1091" s="1037"/>
      <c r="AB1091" s="1037"/>
      <c r="AC1091" s="1037"/>
      <c r="AD1091" s="1037"/>
      <c r="AE1091" s="1037"/>
      <c r="AF1091" s="1037"/>
      <c r="AG1091" s="1037"/>
      <c r="AH1091" s="1037"/>
      <c r="AI1091" s="1037"/>
      <c r="AJ1091" s="1037"/>
      <c r="AK1091" s="1037"/>
      <c r="AL1091" s="1037"/>
      <c r="AM1091" s="1037"/>
      <c r="AN1091" s="1037"/>
      <c r="AO1091" s="1037"/>
      <c r="AP1091" s="1037"/>
    </row>
    <row r="1092" spans="1:42" s="226" customFormat="1">
      <c r="A1092" s="2060"/>
      <c r="B1092" s="1037"/>
      <c r="C1092" s="1037"/>
      <c r="D1092" s="1037"/>
      <c r="E1092" s="1037"/>
      <c r="F1092" s="1037"/>
      <c r="G1092" s="1037"/>
      <c r="H1092" s="1018"/>
      <c r="I1092" s="1037"/>
      <c r="J1092" s="1037"/>
      <c r="K1092" s="1037"/>
      <c r="L1092" s="1037"/>
      <c r="M1092" s="1037"/>
      <c r="N1092" s="1037"/>
      <c r="O1092" s="1037"/>
      <c r="P1092" s="1037"/>
      <c r="Q1092" s="1037"/>
      <c r="R1092" s="1037"/>
      <c r="S1092" s="1037"/>
      <c r="T1092" s="1037"/>
      <c r="U1092" s="1037"/>
      <c r="V1092" s="1037"/>
      <c r="W1092" s="1037"/>
      <c r="X1092" s="1037"/>
      <c r="Y1092" s="1037"/>
      <c r="Z1092" s="1037"/>
      <c r="AA1092" s="1037"/>
      <c r="AB1092" s="1037"/>
      <c r="AC1092" s="1037"/>
      <c r="AD1092" s="1037"/>
      <c r="AE1092" s="1037"/>
      <c r="AF1092" s="1037"/>
      <c r="AG1092" s="1037"/>
      <c r="AH1092" s="1037"/>
      <c r="AI1092" s="1037"/>
      <c r="AJ1092" s="1037"/>
      <c r="AK1092" s="1037"/>
      <c r="AL1092" s="1037"/>
      <c r="AM1092" s="1037"/>
      <c r="AN1092" s="1037"/>
      <c r="AO1092" s="1037"/>
      <c r="AP1092" s="1037"/>
    </row>
    <row r="1093" spans="1:42" s="226" customFormat="1">
      <c r="A1093" s="2060"/>
      <c r="B1093" s="1037"/>
      <c r="C1093" s="1037"/>
      <c r="D1093" s="1037"/>
      <c r="E1093" s="1037"/>
      <c r="F1093" s="1037"/>
      <c r="G1093" s="1037"/>
      <c r="H1093" s="1018"/>
      <c r="I1093" s="1037"/>
      <c r="J1093" s="1037"/>
      <c r="K1093" s="1037"/>
      <c r="L1093" s="1037"/>
      <c r="M1093" s="1037"/>
      <c r="N1093" s="1037"/>
      <c r="O1093" s="1037"/>
      <c r="P1093" s="1037"/>
      <c r="Q1093" s="1037"/>
      <c r="R1093" s="1037"/>
      <c r="S1093" s="1037"/>
      <c r="T1093" s="1037"/>
      <c r="U1093" s="1037"/>
      <c r="V1093" s="1037"/>
      <c r="W1093" s="1037"/>
      <c r="X1093" s="1037"/>
      <c r="Y1093" s="1037"/>
      <c r="Z1093" s="1037"/>
      <c r="AA1093" s="1037"/>
      <c r="AB1093" s="1037"/>
      <c r="AC1093" s="1037"/>
      <c r="AD1093" s="1037"/>
      <c r="AE1093" s="1037"/>
      <c r="AF1093" s="1037"/>
      <c r="AG1093" s="1037"/>
      <c r="AH1093" s="1037"/>
      <c r="AI1093" s="1037"/>
      <c r="AJ1093" s="1037"/>
      <c r="AK1093" s="1037"/>
      <c r="AL1093" s="1037"/>
      <c r="AM1093" s="1037"/>
      <c r="AN1093" s="1037"/>
      <c r="AO1093" s="1037"/>
      <c r="AP1093" s="1037"/>
    </row>
    <row r="1094" spans="1:42" s="226" customFormat="1">
      <c r="A1094" s="2060"/>
      <c r="B1094" s="1037"/>
      <c r="C1094" s="1037"/>
      <c r="D1094" s="1037"/>
      <c r="E1094" s="1037"/>
      <c r="F1094" s="1037"/>
      <c r="G1094" s="1037"/>
      <c r="H1094" s="1018"/>
      <c r="I1094" s="1037"/>
      <c r="J1094" s="1037"/>
      <c r="K1094" s="1037"/>
      <c r="L1094" s="1037"/>
      <c r="M1094" s="1037"/>
      <c r="N1094" s="1037"/>
      <c r="O1094" s="1037"/>
      <c r="P1094" s="1037"/>
      <c r="Q1094" s="1037"/>
      <c r="R1094" s="1037"/>
      <c r="S1094" s="1037"/>
      <c r="T1094" s="1037"/>
      <c r="U1094" s="1037"/>
      <c r="V1094" s="1037"/>
      <c r="W1094" s="1037"/>
      <c r="X1094" s="1037"/>
      <c r="Y1094" s="1037"/>
      <c r="Z1094" s="1037"/>
      <c r="AA1094" s="1037"/>
      <c r="AB1094" s="1037"/>
      <c r="AC1094" s="1037"/>
      <c r="AD1094" s="1037"/>
      <c r="AE1094" s="1037"/>
      <c r="AF1094" s="1037"/>
      <c r="AG1094" s="1037"/>
      <c r="AH1094" s="1037"/>
      <c r="AI1094" s="1037"/>
      <c r="AJ1094" s="1037"/>
      <c r="AK1094" s="1037"/>
      <c r="AL1094" s="1037"/>
      <c r="AM1094" s="1037"/>
      <c r="AN1094" s="1037"/>
      <c r="AO1094" s="1037"/>
      <c r="AP1094" s="1037"/>
    </row>
    <row r="1095" spans="1:42" s="226" customFormat="1">
      <c r="A1095" s="2060"/>
      <c r="B1095" s="1037"/>
      <c r="C1095" s="1037"/>
      <c r="D1095" s="1037"/>
      <c r="E1095" s="1037"/>
      <c r="F1095" s="1037"/>
      <c r="G1095" s="1037"/>
      <c r="H1095" s="1018"/>
      <c r="I1095" s="1037"/>
      <c r="J1095" s="1037"/>
      <c r="K1095" s="1037"/>
      <c r="L1095" s="1037"/>
      <c r="M1095" s="1037"/>
      <c r="N1095" s="1037"/>
      <c r="O1095" s="1037"/>
      <c r="P1095" s="1037"/>
      <c r="Q1095" s="1037"/>
      <c r="R1095" s="1037"/>
      <c r="S1095" s="1037"/>
      <c r="T1095" s="1037"/>
      <c r="U1095" s="1037"/>
      <c r="V1095" s="1037"/>
      <c r="W1095" s="1037"/>
      <c r="X1095" s="1037"/>
      <c r="Y1095" s="1037"/>
      <c r="Z1095" s="1037"/>
      <c r="AA1095" s="1037"/>
      <c r="AB1095" s="1037"/>
      <c r="AC1095" s="1037"/>
      <c r="AD1095" s="1037"/>
      <c r="AE1095" s="1037"/>
      <c r="AF1095" s="1037"/>
      <c r="AG1095" s="1037"/>
      <c r="AH1095" s="1037"/>
      <c r="AI1095" s="1037"/>
      <c r="AJ1095" s="1037"/>
      <c r="AK1095" s="1037"/>
      <c r="AL1095" s="1037"/>
      <c r="AM1095" s="1037"/>
      <c r="AN1095" s="1037"/>
      <c r="AO1095" s="1037"/>
      <c r="AP1095" s="1037"/>
    </row>
    <row r="1096" spans="1:42" s="226" customFormat="1">
      <c r="A1096" s="2060"/>
      <c r="B1096" s="1037"/>
      <c r="C1096" s="1037"/>
      <c r="D1096" s="1037"/>
      <c r="E1096" s="1037"/>
      <c r="F1096" s="1037"/>
      <c r="G1096" s="1037"/>
      <c r="H1096" s="1018"/>
      <c r="I1096" s="1037"/>
      <c r="J1096" s="1037"/>
      <c r="K1096" s="1037"/>
      <c r="L1096" s="1037"/>
      <c r="M1096" s="1037"/>
      <c r="N1096" s="1037"/>
      <c r="O1096" s="1037"/>
      <c r="P1096" s="1037"/>
      <c r="Q1096" s="1037"/>
      <c r="R1096" s="1037"/>
      <c r="S1096" s="1037"/>
      <c r="T1096" s="1037"/>
      <c r="U1096" s="1037"/>
      <c r="V1096" s="1037"/>
      <c r="W1096" s="1037"/>
      <c r="X1096" s="1037"/>
      <c r="Y1096" s="1037"/>
      <c r="Z1096" s="1037"/>
      <c r="AA1096" s="1037"/>
      <c r="AB1096" s="1037"/>
      <c r="AC1096" s="1037"/>
      <c r="AD1096" s="1037"/>
      <c r="AE1096" s="1037"/>
      <c r="AF1096" s="1037"/>
      <c r="AG1096" s="1037"/>
      <c r="AH1096" s="1037"/>
      <c r="AI1096" s="1037"/>
      <c r="AJ1096" s="1037"/>
      <c r="AK1096" s="1037"/>
      <c r="AL1096" s="1037"/>
      <c r="AM1096" s="1037"/>
      <c r="AN1096" s="1037"/>
      <c r="AO1096" s="1037"/>
      <c r="AP1096" s="1037"/>
    </row>
    <row r="1097" spans="1:42" s="226" customFormat="1">
      <c r="A1097" s="2060"/>
      <c r="B1097" s="1037"/>
      <c r="C1097" s="1037"/>
      <c r="D1097" s="1037"/>
      <c r="E1097" s="1037"/>
      <c r="F1097" s="1037"/>
      <c r="G1097" s="1037"/>
      <c r="H1097" s="1018"/>
      <c r="I1097" s="1037"/>
      <c r="J1097" s="1037"/>
      <c r="K1097" s="1037"/>
      <c r="L1097" s="1037"/>
      <c r="M1097" s="1037"/>
      <c r="N1097" s="1037"/>
      <c r="O1097" s="1037"/>
      <c r="P1097" s="1037"/>
      <c r="Q1097" s="1037"/>
      <c r="R1097" s="1037"/>
      <c r="S1097" s="1037"/>
      <c r="T1097" s="1037"/>
      <c r="U1097" s="1037"/>
      <c r="V1097" s="1037"/>
      <c r="W1097" s="1037"/>
      <c r="X1097" s="1037"/>
      <c r="Y1097" s="1037"/>
      <c r="Z1097" s="1037"/>
      <c r="AA1097" s="1037"/>
      <c r="AB1097" s="1037"/>
      <c r="AC1097" s="1037"/>
      <c r="AD1097" s="1037"/>
      <c r="AE1097" s="1037"/>
      <c r="AF1097" s="1037"/>
      <c r="AG1097" s="1037"/>
      <c r="AH1097" s="1037"/>
      <c r="AI1097" s="1037"/>
      <c r="AJ1097" s="1037"/>
      <c r="AK1097" s="1037"/>
      <c r="AL1097" s="1037"/>
      <c r="AM1097" s="1037"/>
      <c r="AN1097" s="1037"/>
      <c r="AO1097" s="1037"/>
      <c r="AP1097" s="1037"/>
    </row>
    <row r="1098" spans="1:42" s="226" customFormat="1">
      <c r="A1098" s="2060"/>
      <c r="B1098" s="1037"/>
      <c r="C1098" s="1037"/>
      <c r="D1098" s="1037"/>
      <c r="E1098" s="1037"/>
      <c r="F1098" s="1037"/>
      <c r="G1098" s="1037"/>
      <c r="H1098" s="1018"/>
      <c r="I1098" s="1037"/>
      <c r="J1098" s="1037"/>
      <c r="K1098" s="1037"/>
      <c r="L1098" s="1037"/>
      <c r="M1098" s="1037"/>
      <c r="N1098" s="1037"/>
      <c r="O1098" s="1037"/>
      <c r="P1098" s="1037"/>
      <c r="Q1098" s="1037"/>
      <c r="R1098" s="1037"/>
      <c r="S1098" s="1037"/>
      <c r="T1098" s="1037"/>
      <c r="U1098" s="1037"/>
      <c r="V1098" s="1037"/>
      <c r="W1098" s="1037"/>
      <c r="X1098" s="1037"/>
      <c r="Y1098" s="1037"/>
      <c r="Z1098" s="1037"/>
      <c r="AA1098" s="1037"/>
      <c r="AB1098" s="1037"/>
      <c r="AC1098" s="1037"/>
      <c r="AD1098" s="1037"/>
      <c r="AE1098" s="1037"/>
      <c r="AF1098" s="1037"/>
      <c r="AG1098" s="1037"/>
      <c r="AH1098" s="1037"/>
      <c r="AI1098" s="1037"/>
      <c r="AJ1098" s="1037"/>
      <c r="AK1098" s="1037"/>
      <c r="AL1098" s="1037"/>
      <c r="AM1098" s="1037"/>
      <c r="AN1098" s="1037"/>
      <c r="AO1098" s="1037"/>
      <c r="AP1098" s="1037"/>
    </row>
    <row r="1099" spans="1:42" s="226" customFormat="1">
      <c r="A1099" s="2060"/>
      <c r="B1099" s="1037"/>
      <c r="C1099" s="1037"/>
      <c r="D1099" s="1037"/>
      <c r="E1099" s="1037"/>
      <c r="F1099" s="1037"/>
      <c r="G1099" s="1037"/>
      <c r="H1099" s="1018"/>
      <c r="I1099" s="1037"/>
      <c r="J1099" s="1037"/>
      <c r="K1099" s="1037"/>
      <c r="L1099" s="1037"/>
      <c r="M1099" s="1037"/>
      <c r="N1099" s="1037"/>
      <c r="O1099" s="1037"/>
      <c r="P1099" s="1037"/>
      <c r="Q1099" s="1037"/>
      <c r="R1099" s="1037"/>
      <c r="S1099" s="1037"/>
      <c r="T1099" s="1037"/>
      <c r="U1099" s="1037"/>
      <c r="V1099" s="1037"/>
      <c r="W1099" s="1037"/>
      <c r="X1099" s="1037"/>
      <c r="Y1099" s="1037"/>
      <c r="Z1099" s="1037"/>
      <c r="AA1099" s="1037"/>
      <c r="AB1099" s="1037"/>
      <c r="AC1099" s="1037"/>
      <c r="AD1099" s="1037"/>
      <c r="AE1099" s="1037"/>
      <c r="AF1099" s="1037"/>
      <c r="AG1099" s="1037"/>
      <c r="AH1099" s="1037"/>
      <c r="AI1099" s="1037"/>
      <c r="AJ1099" s="1037"/>
      <c r="AK1099" s="1037"/>
      <c r="AL1099" s="1037"/>
      <c r="AM1099" s="1037"/>
      <c r="AN1099" s="1037"/>
      <c r="AO1099" s="1037"/>
      <c r="AP1099" s="1037"/>
    </row>
    <row r="1100" spans="1:42" s="226" customFormat="1">
      <c r="A1100" s="2060"/>
      <c r="B1100" s="1037"/>
      <c r="C1100" s="1037"/>
      <c r="D1100" s="1037"/>
      <c r="E1100" s="1037"/>
      <c r="F1100" s="1037"/>
      <c r="G1100" s="1037"/>
      <c r="H1100" s="1018"/>
      <c r="I1100" s="1037"/>
      <c r="J1100" s="1037"/>
      <c r="K1100" s="1037"/>
      <c r="L1100" s="1037"/>
      <c r="M1100" s="1037"/>
      <c r="N1100" s="1037"/>
      <c r="O1100" s="1037"/>
      <c r="P1100" s="1037"/>
      <c r="Q1100" s="1037"/>
      <c r="R1100" s="1037"/>
      <c r="S1100" s="1037"/>
      <c r="T1100" s="1037"/>
      <c r="U1100" s="1037"/>
      <c r="V1100" s="1037"/>
      <c r="W1100" s="1037"/>
      <c r="X1100" s="1037"/>
      <c r="Y1100" s="1037"/>
      <c r="Z1100" s="1037"/>
      <c r="AA1100" s="1037"/>
      <c r="AB1100" s="1037"/>
      <c r="AC1100" s="1037"/>
      <c r="AD1100" s="1037"/>
      <c r="AE1100" s="1037"/>
      <c r="AF1100" s="1037"/>
      <c r="AG1100" s="1037"/>
      <c r="AH1100" s="1037"/>
      <c r="AI1100" s="1037"/>
      <c r="AJ1100" s="1037"/>
      <c r="AK1100" s="1037"/>
      <c r="AL1100" s="1037"/>
      <c r="AM1100" s="1037"/>
      <c r="AN1100" s="1037"/>
      <c r="AO1100" s="1037"/>
      <c r="AP1100" s="1037"/>
    </row>
    <row r="1101" spans="1:42" s="226" customFormat="1">
      <c r="A1101" s="2060"/>
      <c r="B1101" s="1037"/>
      <c r="C1101" s="1037"/>
      <c r="D1101" s="1037"/>
      <c r="E1101" s="1037"/>
      <c r="F1101" s="1037"/>
      <c r="G1101" s="1037"/>
      <c r="H1101" s="1018"/>
      <c r="I1101" s="1037"/>
      <c r="J1101" s="1037"/>
      <c r="K1101" s="1037"/>
      <c r="L1101" s="1037"/>
      <c r="M1101" s="1037"/>
      <c r="N1101" s="1037"/>
      <c r="O1101" s="1037"/>
      <c r="P1101" s="1037"/>
      <c r="Q1101" s="1037"/>
      <c r="R1101" s="1037"/>
      <c r="S1101" s="1037"/>
      <c r="T1101" s="1037"/>
      <c r="U1101" s="1037"/>
      <c r="V1101" s="1037"/>
      <c r="W1101" s="1037"/>
      <c r="X1101" s="1037"/>
      <c r="Y1101" s="1037"/>
      <c r="Z1101" s="1037"/>
      <c r="AA1101" s="1037"/>
      <c r="AB1101" s="1037"/>
      <c r="AC1101" s="1037"/>
      <c r="AD1101" s="1037"/>
      <c r="AE1101" s="1037"/>
      <c r="AF1101" s="1037"/>
      <c r="AG1101" s="1037"/>
      <c r="AH1101" s="1037"/>
      <c r="AI1101" s="1037"/>
      <c r="AJ1101" s="1037"/>
      <c r="AK1101" s="1037"/>
      <c r="AL1101" s="1037"/>
      <c r="AM1101" s="1037"/>
      <c r="AN1101" s="1037"/>
      <c r="AO1101" s="1037"/>
      <c r="AP1101" s="1037"/>
    </row>
    <row r="1102" spans="1:42" s="226" customFormat="1">
      <c r="A1102" s="2060"/>
      <c r="B1102" s="1037"/>
      <c r="C1102" s="1037"/>
      <c r="D1102" s="1037"/>
      <c r="E1102" s="1037"/>
      <c r="F1102" s="1037"/>
      <c r="G1102" s="1037"/>
      <c r="H1102" s="1018"/>
      <c r="I1102" s="1037"/>
      <c r="J1102" s="1037"/>
      <c r="K1102" s="1037"/>
      <c r="L1102" s="1037"/>
      <c r="M1102" s="1037"/>
      <c r="N1102" s="1037"/>
      <c r="O1102" s="1037"/>
      <c r="P1102" s="1037"/>
      <c r="Q1102" s="1037"/>
      <c r="R1102" s="1037"/>
      <c r="S1102" s="1037"/>
      <c r="T1102" s="1037"/>
      <c r="U1102" s="1037"/>
      <c r="V1102" s="1037"/>
      <c r="W1102" s="1037"/>
      <c r="X1102" s="1037"/>
      <c r="Y1102" s="1037"/>
      <c r="Z1102" s="1037"/>
      <c r="AA1102" s="1037"/>
      <c r="AB1102" s="1037"/>
      <c r="AC1102" s="1037"/>
      <c r="AD1102" s="1037"/>
      <c r="AE1102" s="1037"/>
      <c r="AF1102" s="1037"/>
      <c r="AG1102" s="1037"/>
      <c r="AH1102" s="1037"/>
      <c r="AI1102" s="1037"/>
      <c r="AJ1102" s="1037"/>
      <c r="AK1102" s="1037"/>
      <c r="AL1102" s="1037"/>
      <c r="AM1102" s="1037"/>
      <c r="AN1102" s="1037"/>
      <c r="AO1102" s="1037"/>
      <c r="AP1102" s="1037"/>
    </row>
    <row r="1103" spans="1:42" s="226" customFormat="1">
      <c r="A1103" s="2060"/>
      <c r="B1103" s="1037"/>
      <c r="C1103" s="1037"/>
      <c r="D1103" s="1037"/>
      <c r="E1103" s="1037"/>
      <c r="F1103" s="1037"/>
      <c r="G1103" s="1037"/>
      <c r="H1103" s="1018"/>
      <c r="I1103" s="1037"/>
      <c r="J1103" s="1037"/>
      <c r="K1103" s="1037"/>
      <c r="L1103" s="1037"/>
      <c r="M1103" s="1037"/>
      <c r="N1103" s="1037"/>
      <c r="O1103" s="1037"/>
      <c r="P1103" s="1037"/>
      <c r="Q1103" s="1037"/>
      <c r="R1103" s="1037"/>
      <c r="S1103" s="1037"/>
      <c r="T1103" s="1037"/>
      <c r="U1103" s="1037"/>
      <c r="V1103" s="1037"/>
      <c r="W1103" s="1037"/>
      <c r="X1103" s="1037"/>
      <c r="Y1103" s="1037"/>
      <c r="Z1103" s="1037"/>
      <c r="AA1103" s="1037"/>
      <c r="AB1103" s="1037"/>
      <c r="AC1103" s="1037"/>
      <c r="AD1103" s="1037"/>
      <c r="AE1103" s="1037"/>
      <c r="AF1103" s="1037"/>
      <c r="AG1103" s="1037"/>
      <c r="AH1103" s="1037"/>
      <c r="AI1103" s="1037"/>
      <c r="AJ1103" s="1037"/>
      <c r="AK1103" s="1037"/>
      <c r="AL1103" s="1037"/>
      <c r="AM1103" s="1037"/>
      <c r="AN1103" s="1037"/>
      <c r="AO1103" s="1037"/>
      <c r="AP1103" s="1037"/>
    </row>
    <row r="1104" spans="1:42" s="226" customFormat="1">
      <c r="A1104" s="2060"/>
      <c r="B1104" s="1037"/>
      <c r="C1104" s="1037"/>
      <c r="D1104" s="1037"/>
      <c r="E1104" s="1037"/>
      <c r="F1104" s="1037"/>
      <c r="G1104" s="1037"/>
      <c r="H1104" s="1018"/>
      <c r="I1104" s="1037"/>
      <c r="J1104" s="1037"/>
      <c r="K1104" s="1037"/>
      <c r="L1104" s="1037"/>
      <c r="M1104" s="1037"/>
      <c r="N1104" s="1037"/>
      <c r="O1104" s="1037"/>
      <c r="P1104" s="1037"/>
      <c r="Q1104" s="1037"/>
      <c r="R1104" s="1037"/>
      <c r="S1104" s="1037"/>
      <c r="T1104" s="1037"/>
      <c r="U1104" s="1037"/>
      <c r="V1104" s="1037"/>
      <c r="W1104" s="1037"/>
      <c r="X1104" s="1037"/>
      <c r="Y1104" s="1037"/>
      <c r="Z1104" s="1037"/>
      <c r="AA1104" s="1037"/>
      <c r="AB1104" s="1037"/>
      <c r="AC1104" s="1037"/>
      <c r="AD1104" s="1037"/>
      <c r="AE1104" s="1037"/>
      <c r="AF1104" s="1037"/>
      <c r="AG1104" s="1037"/>
      <c r="AH1104" s="1037"/>
      <c r="AI1104" s="1037"/>
      <c r="AJ1104" s="1037"/>
      <c r="AK1104" s="1037"/>
      <c r="AL1104" s="1037"/>
      <c r="AM1104" s="1037"/>
      <c r="AN1104" s="1037"/>
      <c r="AO1104" s="1037"/>
      <c r="AP1104" s="1037"/>
    </row>
    <row r="1105" spans="1:42" s="226" customFormat="1">
      <c r="A1105" s="2060"/>
      <c r="B1105" s="1037"/>
      <c r="C1105" s="1037"/>
      <c r="D1105" s="1037"/>
      <c r="E1105" s="1037"/>
      <c r="F1105" s="1037"/>
      <c r="G1105" s="1037"/>
      <c r="H1105" s="1018"/>
      <c r="I1105" s="1037"/>
      <c r="J1105" s="1037"/>
      <c r="K1105" s="1037"/>
      <c r="L1105" s="1037"/>
      <c r="M1105" s="1037"/>
      <c r="N1105" s="1037"/>
      <c r="O1105" s="1037"/>
      <c r="P1105" s="1037"/>
      <c r="Q1105" s="1037"/>
      <c r="R1105" s="1037"/>
      <c r="S1105" s="1037"/>
      <c r="T1105" s="1037"/>
      <c r="U1105" s="1037"/>
      <c r="V1105" s="1037"/>
      <c r="W1105" s="1037"/>
      <c r="X1105" s="1037"/>
      <c r="Y1105" s="1037"/>
      <c r="Z1105" s="1037"/>
      <c r="AA1105" s="1037"/>
      <c r="AB1105" s="1037"/>
      <c r="AC1105" s="1037"/>
      <c r="AD1105" s="1037"/>
      <c r="AE1105" s="1037"/>
      <c r="AF1105" s="1037"/>
      <c r="AG1105" s="1037"/>
      <c r="AH1105" s="1037"/>
      <c r="AI1105" s="1037"/>
      <c r="AJ1105" s="1037"/>
      <c r="AK1105" s="1037"/>
      <c r="AL1105" s="1037"/>
      <c r="AM1105" s="1037"/>
      <c r="AN1105" s="1037"/>
      <c r="AO1105" s="1037"/>
      <c r="AP1105" s="1037"/>
    </row>
    <row r="1106" spans="1:42" s="226" customFormat="1">
      <c r="A1106" s="2060"/>
      <c r="B1106" s="1037"/>
      <c r="C1106" s="1037"/>
      <c r="D1106" s="1037"/>
      <c r="E1106" s="1037"/>
      <c r="F1106" s="1037"/>
      <c r="G1106" s="1037"/>
      <c r="H1106" s="1018"/>
      <c r="I1106" s="1037"/>
      <c r="J1106" s="1037"/>
      <c r="K1106" s="1037"/>
      <c r="L1106" s="1037"/>
      <c r="M1106" s="1037"/>
      <c r="N1106" s="1037"/>
      <c r="O1106" s="1037"/>
      <c r="P1106" s="1037"/>
      <c r="Q1106" s="1037"/>
      <c r="R1106" s="1037"/>
      <c r="S1106" s="1037"/>
      <c r="T1106" s="1037"/>
      <c r="U1106" s="1037"/>
      <c r="V1106" s="1037"/>
      <c r="W1106" s="1037"/>
      <c r="X1106" s="1037"/>
      <c r="Y1106" s="1037"/>
      <c r="Z1106" s="1037"/>
      <c r="AA1106" s="1037"/>
      <c r="AB1106" s="1037"/>
      <c r="AC1106" s="1037"/>
      <c r="AD1106" s="1037"/>
      <c r="AE1106" s="1037"/>
      <c r="AF1106" s="1037"/>
      <c r="AG1106" s="1037"/>
      <c r="AH1106" s="1037"/>
      <c r="AI1106" s="1037"/>
      <c r="AJ1106" s="1037"/>
      <c r="AK1106" s="1037"/>
      <c r="AL1106" s="1037"/>
      <c r="AM1106" s="1037"/>
      <c r="AN1106" s="1037"/>
      <c r="AO1106" s="1037"/>
      <c r="AP1106" s="1037"/>
    </row>
    <row r="1107" spans="1:42" s="226" customFormat="1">
      <c r="A1107" s="2060"/>
      <c r="B1107" s="1037"/>
      <c r="C1107" s="1037"/>
      <c r="D1107" s="1037"/>
      <c r="E1107" s="1037"/>
      <c r="F1107" s="1037"/>
      <c r="G1107" s="1037"/>
      <c r="H1107" s="1018"/>
      <c r="I1107" s="1037"/>
      <c r="J1107" s="1037"/>
      <c r="K1107" s="1037"/>
      <c r="L1107" s="1037"/>
      <c r="M1107" s="1037"/>
      <c r="N1107" s="1037"/>
      <c r="O1107" s="1037"/>
      <c r="P1107" s="1037"/>
      <c r="Q1107" s="1037"/>
      <c r="R1107" s="1037"/>
      <c r="S1107" s="1037"/>
      <c r="T1107" s="1037"/>
      <c r="U1107" s="1037"/>
      <c r="V1107" s="1037"/>
      <c r="W1107" s="1037"/>
      <c r="X1107" s="1037"/>
      <c r="Y1107" s="1037"/>
      <c r="Z1107" s="1037"/>
      <c r="AA1107" s="1037"/>
      <c r="AB1107" s="1037"/>
      <c r="AC1107" s="1037"/>
      <c r="AD1107" s="1037"/>
      <c r="AE1107" s="1037"/>
      <c r="AF1107" s="1037"/>
      <c r="AG1107" s="1037"/>
      <c r="AH1107" s="1037"/>
      <c r="AI1107" s="1037"/>
      <c r="AJ1107" s="1037"/>
      <c r="AK1107" s="1037"/>
      <c r="AL1107" s="1037"/>
      <c r="AM1107" s="1037"/>
      <c r="AN1107" s="1037"/>
      <c r="AO1107" s="1037"/>
      <c r="AP1107" s="1037"/>
    </row>
    <row r="1108" spans="1:42" s="226" customFormat="1">
      <c r="A1108" s="2060"/>
      <c r="B1108" s="1037"/>
      <c r="C1108" s="1037"/>
      <c r="D1108" s="1037"/>
      <c r="E1108" s="1037"/>
      <c r="F1108" s="1037"/>
      <c r="G1108" s="1037"/>
      <c r="H1108" s="1018"/>
      <c r="I1108" s="1037"/>
      <c r="J1108" s="1037"/>
      <c r="K1108" s="1037"/>
      <c r="L1108" s="1037"/>
      <c r="M1108" s="1037"/>
      <c r="N1108" s="1037"/>
      <c r="O1108" s="1037"/>
      <c r="P1108" s="1037"/>
      <c r="Q1108" s="1037"/>
      <c r="R1108" s="1037"/>
      <c r="S1108" s="1037"/>
      <c r="T1108" s="1037"/>
      <c r="U1108" s="1037"/>
      <c r="V1108" s="1037"/>
      <c r="W1108" s="1037"/>
      <c r="X1108" s="1037"/>
      <c r="Y1108" s="1037"/>
      <c r="Z1108" s="1037"/>
      <c r="AA1108" s="1037"/>
      <c r="AB1108" s="1037"/>
      <c r="AC1108" s="1037"/>
      <c r="AD1108" s="1037"/>
      <c r="AE1108" s="1037"/>
      <c r="AF1108" s="1037"/>
      <c r="AG1108" s="1037"/>
      <c r="AH1108" s="1037"/>
      <c r="AI1108" s="1037"/>
      <c r="AJ1108" s="1037"/>
      <c r="AK1108" s="1037"/>
      <c r="AL1108" s="1037"/>
      <c r="AM1108" s="1037"/>
      <c r="AN1108" s="1037"/>
      <c r="AO1108" s="1037"/>
      <c r="AP1108" s="1037"/>
    </row>
    <row r="1109" spans="1:42" s="226" customFormat="1">
      <c r="A1109" s="2060"/>
      <c r="B1109" s="1037"/>
      <c r="C1109" s="1037"/>
      <c r="D1109" s="1037"/>
      <c r="E1109" s="1037"/>
      <c r="F1109" s="1037"/>
      <c r="G1109" s="1037"/>
      <c r="H1109" s="1018"/>
      <c r="I1109" s="1037"/>
      <c r="J1109" s="1037"/>
      <c r="K1109" s="1037"/>
      <c r="L1109" s="1037"/>
      <c r="M1109" s="1037"/>
      <c r="N1109" s="1037"/>
      <c r="O1109" s="1037"/>
      <c r="P1109" s="1037"/>
      <c r="Q1109" s="1037"/>
      <c r="R1109" s="1037"/>
      <c r="S1109" s="1037"/>
      <c r="T1109" s="1037"/>
      <c r="U1109" s="1037"/>
      <c r="V1109" s="1037"/>
      <c r="W1109" s="1037"/>
      <c r="X1109" s="1037"/>
      <c r="Y1109" s="1037"/>
      <c r="Z1109" s="1037"/>
      <c r="AA1109" s="1037"/>
      <c r="AB1109" s="1037"/>
      <c r="AC1109" s="1037"/>
      <c r="AD1109" s="1037"/>
      <c r="AE1109" s="1037"/>
      <c r="AF1109" s="1037"/>
      <c r="AG1109" s="1037"/>
      <c r="AH1109" s="1037"/>
      <c r="AI1109" s="1037"/>
      <c r="AJ1109" s="1037"/>
      <c r="AK1109" s="1037"/>
      <c r="AL1109" s="1037"/>
      <c r="AM1109" s="1037"/>
      <c r="AN1109" s="1037"/>
      <c r="AO1109" s="1037"/>
      <c r="AP1109" s="1037"/>
    </row>
    <row r="1110" spans="1:42" s="226" customFormat="1">
      <c r="A1110" s="2060"/>
      <c r="B1110" s="1037"/>
      <c r="C1110" s="1037"/>
      <c r="D1110" s="1037"/>
      <c r="E1110" s="1037"/>
      <c r="F1110" s="1037"/>
      <c r="G1110" s="1037"/>
      <c r="H1110" s="1018"/>
      <c r="I1110" s="1037"/>
      <c r="J1110" s="1037"/>
      <c r="K1110" s="1037"/>
      <c r="L1110" s="1037"/>
      <c r="M1110" s="1037"/>
      <c r="N1110" s="1037"/>
      <c r="O1110" s="1037"/>
      <c r="P1110" s="1037"/>
      <c r="Q1110" s="1037"/>
      <c r="R1110" s="1037"/>
      <c r="S1110" s="1037"/>
      <c r="T1110" s="1037"/>
      <c r="U1110" s="1037"/>
      <c r="V1110" s="1037"/>
      <c r="W1110" s="1037"/>
      <c r="X1110" s="1037"/>
      <c r="Y1110" s="1037"/>
      <c r="Z1110" s="1037"/>
      <c r="AA1110" s="1037"/>
      <c r="AB1110" s="1037"/>
      <c r="AC1110" s="1037"/>
      <c r="AD1110" s="1037"/>
      <c r="AE1110" s="1037"/>
      <c r="AF1110" s="1037"/>
      <c r="AG1110" s="1037"/>
      <c r="AH1110" s="1037"/>
      <c r="AI1110" s="1037"/>
      <c r="AJ1110" s="1037"/>
      <c r="AK1110" s="1037"/>
      <c r="AL1110" s="1037"/>
      <c r="AM1110" s="1037"/>
      <c r="AN1110" s="1037"/>
      <c r="AO1110" s="1037"/>
      <c r="AP1110" s="1037"/>
    </row>
    <row r="1111" spans="1:42" s="226" customFormat="1">
      <c r="A1111" s="2060"/>
      <c r="B1111" s="1037"/>
      <c r="C1111" s="1037"/>
      <c r="D1111" s="1037"/>
      <c r="E1111" s="1037"/>
      <c r="F1111" s="1037"/>
      <c r="G1111" s="1037"/>
      <c r="H1111" s="1018"/>
      <c r="I1111" s="1037"/>
      <c r="J1111" s="1037"/>
      <c r="K1111" s="1037"/>
      <c r="L1111" s="1037"/>
      <c r="M1111" s="1037"/>
      <c r="N1111" s="1037"/>
      <c r="O1111" s="1037"/>
      <c r="P1111" s="1037"/>
      <c r="Q1111" s="1037"/>
      <c r="R1111" s="1037"/>
      <c r="S1111" s="1037"/>
      <c r="T1111" s="1037"/>
      <c r="U1111" s="1037"/>
      <c r="V1111" s="1037"/>
      <c r="W1111" s="1037"/>
      <c r="X1111" s="1037"/>
      <c r="Y1111" s="1037"/>
      <c r="Z1111" s="1037"/>
      <c r="AA1111" s="1037"/>
      <c r="AB1111" s="1037"/>
      <c r="AC1111" s="1037"/>
      <c r="AD1111" s="1037"/>
      <c r="AE1111" s="1037"/>
      <c r="AF1111" s="1037"/>
      <c r="AG1111" s="1037"/>
      <c r="AH1111" s="1037"/>
      <c r="AI1111" s="1037"/>
      <c r="AJ1111" s="1037"/>
      <c r="AK1111" s="1037"/>
      <c r="AL1111" s="1037"/>
      <c r="AM1111" s="1037"/>
      <c r="AN1111" s="1037"/>
      <c r="AO1111" s="1037"/>
      <c r="AP1111" s="1037"/>
    </row>
    <row r="1112" spans="1:42" s="226" customFormat="1">
      <c r="A1112" s="2060"/>
      <c r="B1112" s="1037"/>
      <c r="C1112" s="1037"/>
      <c r="D1112" s="1037"/>
      <c r="E1112" s="1037"/>
      <c r="F1112" s="1037"/>
      <c r="G1112" s="1037"/>
      <c r="H1112" s="1018"/>
      <c r="I1112" s="1037"/>
      <c r="J1112" s="1037"/>
      <c r="K1112" s="1037"/>
      <c r="L1112" s="1037"/>
      <c r="M1112" s="1037"/>
      <c r="N1112" s="1037"/>
      <c r="O1112" s="1037"/>
      <c r="P1112" s="1037"/>
      <c r="Q1112" s="1037"/>
      <c r="R1112" s="1037"/>
      <c r="S1112" s="1037"/>
      <c r="T1112" s="1037"/>
      <c r="U1112" s="1037"/>
      <c r="V1112" s="1037"/>
      <c r="W1112" s="1037"/>
      <c r="X1112" s="1037"/>
      <c r="Y1112" s="1037"/>
      <c r="Z1112" s="1037"/>
      <c r="AA1112" s="1037"/>
      <c r="AB1112" s="1037"/>
      <c r="AC1112" s="1037"/>
      <c r="AD1112" s="1037"/>
      <c r="AE1112" s="1037"/>
      <c r="AF1112" s="1037"/>
      <c r="AG1112" s="1037"/>
      <c r="AH1112" s="1037"/>
      <c r="AI1112" s="1037"/>
      <c r="AJ1112" s="1037"/>
      <c r="AK1112" s="1037"/>
      <c r="AL1112" s="1037"/>
      <c r="AM1112" s="1037"/>
      <c r="AN1112" s="1037"/>
      <c r="AO1112" s="1037"/>
      <c r="AP1112" s="1037"/>
    </row>
    <row r="1113" spans="1:42" s="226" customFormat="1">
      <c r="A1113" s="2060"/>
      <c r="B1113" s="1037"/>
      <c r="C1113" s="1037"/>
      <c r="D1113" s="1037"/>
      <c r="E1113" s="1037"/>
      <c r="F1113" s="1037"/>
      <c r="G1113" s="1037"/>
      <c r="H1113" s="1018"/>
      <c r="I1113" s="1037"/>
      <c r="J1113" s="1037"/>
      <c r="K1113" s="1037"/>
      <c r="L1113" s="1037"/>
      <c r="M1113" s="1037"/>
      <c r="N1113" s="1037"/>
      <c r="O1113" s="1037"/>
      <c r="P1113" s="1037"/>
      <c r="Q1113" s="1037"/>
      <c r="R1113" s="1037"/>
      <c r="S1113" s="1037"/>
      <c r="T1113" s="1037"/>
      <c r="U1113" s="1037"/>
      <c r="V1113" s="1037"/>
      <c r="W1113" s="1037"/>
      <c r="X1113" s="1037"/>
      <c r="Y1113" s="1037"/>
      <c r="Z1113" s="1037"/>
      <c r="AA1113" s="1037"/>
      <c r="AB1113" s="1037"/>
      <c r="AC1113" s="1037"/>
      <c r="AD1113" s="1037"/>
      <c r="AE1113" s="1037"/>
      <c r="AF1113" s="1037"/>
      <c r="AG1113" s="1037"/>
      <c r="AH1113" s="1037"/>
      <c r="AI1113" s="1037"/>
      <c r="AJ1113" s="1037"/>
      <c r="AK1113" s="1037"/>
      <c r="AL1113" s="1037"/>
      <c r="AM1113" s="1037"/>
      <c r="AN1113" s="1037"/>
      <c r="AO1113" s="1037"/>
      <c r="AP1113" s="1037"/>
    </row>
    <row r="1114" spans="1:42" s="226" customFormat="1">
      <c r="A1114" s="2060"/>
      <c r="B1114" s="1037"/>
      <c r="C1114" s="1037"/>
      <c r="D1114" s="1037"/>
      <c r="E1114" s="1037"/>
      <c r="F1114" s="1037"/>
      <c r="G1114" s="1037"/>
      <c r="H1114" s="1018"/>
      <c r="I1114" s="1037"/>
      <c r="J1114" s="1037"/>
      <c r="K1114" s="1037"/>
      <c r="L1114" s="1037"/>
      <c r="M1114" s="1037"/>
      <c r="N1114" s="1037"/>
      <c r="O1114" s="1037"/>
      <c r="P1114" s="1037"/>
      <c r="Q1114" s="1037"/>
      <c r="R1114" s="1037"/>
      <c r="S1114" s="1037"/>
      <c r="T1114" s="1037"/>
      <c r="U1114" s="1037"/>
      <c r="V1114" s="1037"/>
      <c r="W1114" s="1037"/>
      <c r="X1114" s="1037"/>
      <c r="Y1114" s="1037"/>
      <c r="Z1114" s="1037"/>
      <c r="AA1114" s="1037"/>
      <c r="AB1114" s="1037"/>
      <c r="AC1114" s="1037"/>
      <c r="AD1114" s="1037"/>
      <c r="AE1114" s="1037"/>
      <c r="AF1114" s="1037"/>
      <c r="AG1114" s="1037"/>
      <c r="AH1114" s="1037"/>
      <c r="AI1114" s="1037"/>
      <c r="AJ1114" s="1037"/>
      <c r="AK1114" s="1037"/>
      <c r="AL1114" s="1037"/>
      <c r="AM1114" s="1037"/>
      <c r="AN1114" s="1037"/>
      <c r="AO1114" s="1037"/>
      <c r="AP1114" s="1037"/>
    </row>
    <row r="1115" spans="1:42" s="226" customFormat="1">
      <c r="A1115" s="2060"/>
      <c r="B1115" s="1037"/>
      <c r="C1115" s="1037"/>
      <c r="D1115" s="1037"/>
      <c r="E1115" s="1037"/>
      <c r="F1115" s="1037"/>
      <c r="G1115" s="1037"/>
      <c r="H1115" s="1018"/>
      <c r="I1115" s="1037"/>
      <c r="J1115" s="1037"/>
      <c r="K1115" s="1037"/>
      <c r="L1115" s="1037"/>
      <c r="M1115" s="1037"/>
      <c r="N1115" s="1037"/>
      <c r="O1115" s="1037"/>
      <c r="P1115" s="1037"/>
      <c r="Q1115" s="1037"/>
      <c r="R1115" s="1037"/>
      <c r="S1115" s="1037"/>
      <c r="T1115" s="1037"/>
      <c r="U1115" s="1037"/>
      <c r="V1115" s="1037"/>
      <c r="W1115" s="1037"/>
      <c r="X1115" s="1037"/>
      <c r="Y1115" s="1037"/>
      <c r="Z1115" s="1037"/>
      <c r="AA1115" s="1037"/>
      <c r="AB1115" s="1037"/>
      <c r="AC1115" s="1037"/>
      <c r="AD1115" s="1037"/>
      <c r="AE1115" s="1037"/>
      <c r="AF1115" s="1037"/>
      <c r="AG1115" s="1037"/>
      <c r="AH1115" s="1037"/>
      <c r="AI1115" s="1037"/>
      <c r="AJ1115" s="1037"/>
      <c r="AK1115" s="1037"/>
      <c r="AL1115" s="1037"/>
      <c r="AM1115" s="1037"/>
      <c r="AN1115" s="1037"/>
      <c r="AO1115" s="1037"/>
      <c r="AP1115" s="1037"/>
    </row>
    <row r="1116" spans="1:42" s="226" customFormat="1">
      <c r="A1116" s="2060"/>
      <c r="B1116" s="1037"/>
      <c r="C1116" s="1037"/>
      <c r="D1116" s="1037"/>
      <c r="E1116" s="1037"/>
      <c r="F1116" s="1037"/>
      <c r="G1116" s="1037"/>
      <c r="H1116" s="1018"/>
      <c r="I1116" s="1037"/>
      <c r="J1116" s="1037"/>
      <c r="K1116" s="1037"/>
      <c r="L1116" s="1037"/>
      <c r="M1116" s="1037"/>
      <c r="N1116" s="1037"/>
      <c r="O1116" s="1037"/>
      <c r="P1116" s="1037"/>
      <c r="Q1116" s="1037"/>
      <c r="R1116" s="1037"/>
      <c r="S1116" s="1037"/>
      <c r="T1116" s="1037"/>
      <c r="U1116" s="1037"/>
      <c r="V1116" s="1037"/>
      <c r="W1116" s="1037"/>
      <c r="X1116" s="1037"/>
      <c r="Y1116" s="1037"/>
      <c r="Z1116" s="1037"/>
      <c r="AA1116" s="1037"/>
      <c r="AB1116" s="1037"/>
      <c r="AC1116" s="1037"/>
      <c r="AD1116" s="1037"/>
      <c r="AE1116" s="1037"/>
      <c r="AF1116" s="1037"/>
      <c r="AG1116" s="1037"/>
      <c r="AH1116" s="1037"/>
      <c r="AI1116" s="1037"/>
      <c r="AJ1116" s="1037"/>
      <c r="AK1116" s="1037"/>
      <c r="AL1116" s="1037"/>
      <c r="AM1116" s="1037"/>
      <c r="AN1116" s="1037"/>
      <c r="AO1116" s="1037"/>
      <c r="AP1116" s="1037"/>
    </row>
    <row r="1117" spans="1:42" s="226" customFormat="1">
      <c r="A1117" s="2060"/>
      <c r="B1117" s="1037"/>
      <c r="C1117" s="1037"/>
      <c r="D1117" s="1037"/>
      <c r="E1117" s="1037"/>
      <c r="F1117" s="1037"/>
      <c r="G1117" s="1037"/>
      <c r="H1117" s="1018"/>
      <c r="I1117" s="1037"/>
      <c r="J1117" s="1037"/>
      <c r="K1117" s="1037"/>
      <c r="L1117" s="1037"/>
      <c r="M1117" s="1037"/>
      <c r="N1117" s="1037"/>
      <c r="O1117" s="1037"/>
      <c r="P1117" s="1037"/>
      <c r="Q1117" s="1037"/>
      <c r="R1117" s="1037"/>
      <c r="S1117" s="1037"/>
      <c r="T1117" s="1037"/>
      <c r="U1117" s="1037"/>
      <c r="V1117" s="1037"/>
      <c r="W1117" s="1037"/>
      <c r="X1117" s="1037"/>
      <c r="Y1117" s="1037"/>
      <c r="Z1117" s="1037"/>
      <c r="AA1117" s="1037"/>
      <c r="AB1117" s="1037"/>
      <c r="AC1117" s="1037"/>
      <c r="AD1117" s="1037"/>
      <c r="AE1117" s="1037"/>
      <c r="AF1117" s="1037"/>
      <c r="AG1117" s="1037"/>
      <c r="AH1117" s="1037"/>
      <c r="AI1117" s="1037"/>
      <c r="AJ1117" s="1037"/>
      <c r="AK1117" s="1037"/>
      <c r="AL1117" s="1037"/>
      <c r="AM1117" s="1037"/>
      <c r="AN1117" s="1037"/>
      <c r="AO1117" s="1037"/>
      <c r="AP1117" s="1037"/>
    </row>
    <row r="1118" spans="1:42" s="226" customFormat="1">
      <c r="A1118" s="2060"/>
      <c r="B1118" s="1037"/>
      <c r="C1118" s="1037"/>
      <c r="D1118" s="1037"/>
      <c r="E1118" s="1037"/>
      <c r="F1118" s="1037"/>
      <c r="G1118" s="1037"/>
      <c r="H1118" s="1018"/>
      <c r="I1118" s="1037"/>
      <c r="J1118" s="1037"/>
      <c r="K1118" s="1037"/>
      <c r="L1118" s="1037"/>
      <c r="M1118" s="1037"/>
      <c r="N1118" s="1037"/>
      <c r="O1118" s="1037"/>
      <c r="P1118" s="1037"/>
      <c r="Q1118" s="1037"/>
      <c r="R1118" s="1037"/>
      <c r="S1118" s="1037"/>
      <c r="T1118" s="1037"/>
      <c r="U1118" s="1037"/>
      <c r="V1118" s="1037"/>
      <c r="W1118" s="1037"/>
      <c r="X1118" s="1037"/>
      <c r="Y1118" s="1037"/>
      <c r="Z1118" s="1037"/>
      <c r="AA1118" s="1037"/>
      <c r="AB1118" s="1037"/>
      <c r="AC1118" s="1037"/>
      <c r="AD1118" s="1037"/>
      <c r="AE1118" s="1037"/>
      <c r="AF1118" s="1037"/>
      <c r="AG1118" s="1037"/>
      <c r="AH1118" s="1037"/>
      <c r="AI1118" s="1037"/>
      <c r="AJ1118" s="1037"/>
      <c r="AK1118" s="1037"/>
      <c r="AL1118" s="1037"/>
      <c r="AM1118" s="1037"/>
      <c r="AN1118" s="1037"/>
      <c r="AO1118" s="1037"/>
      <c r="AP1118" s="1037"/>
    </row>
    <row r="1119" spans="1:42" s="226" customFormat="1">
      <c r="A1119" s="2060"/>
      <c r="B1119" s="1037"/>
      <c r="C1119" s="1037"/>
      <c r="D1119" s="1037"/>
      <c r="E1119" s="1037"/>
      <c r="F1119" s="1037"/>
      <c r="G1119" s="1037"/>
      <c r="H1119" s="1018"/>
      <c r="I1119" s="1037"/>
      <c r="J1119" s="1037"/>
      <c r="K1119" s="1037"/>
      <c r="L1119" s="1037"/>
      <c r="M1119" s="1037"/>
      <c r="N1119" s="1037"/>
      <c r="O1119" s="1037"/>
      <c r="P1119" s="1037"/>
      <c r="Q1119" s="1037"/>
      <c r="R1119" s="1037"/>
      <c r="S1119" s="1037"/>
      <c r="T1119" s="1037"/>
      <c r="U1119" s="1037"/>
      <c r="V1119" s="1037"/>
      <c r="W1119" s="1037"/>
      <c r="X1119" s="1037"/>
      <c r="Y1119" s="1037"/>
      <c r="Z1119" s="1037"/>
      <c r="AA1119" s="1037"/>
      <c r="AB1119" s="1037"/>
      <c r="AC1119" s="1037"/>
      <c r="AD1119" s="1037"/>
      <c r="AE1119" s="1037"/>
      <c r="AF1119" s="1037"/>
      <c r="AG1119" s="1037"/>
      <c r="AH1119" s="1037"/>
      <c r="AI1119" s="1037"/>
      <c r="AJ1119" s="1037"/>
      <c r="AK1119" s="1037"/>
      <c r="AL1119" s="1037"/>
      <c r="AM1119" s="1037"/>
      <c r="AN1119" s="1037"/>
      <c r="AO1119" s="1037"/>
      <c r="AP1119" s="1037"/>
    </row>
    <row r="1120" spans="1:42" s="226" customFormat="1">
      <c r="A1120" s="2060"/>
      <c r="B1120" s="1037"/>
      <c r="C1120" s="1037"/>
      <c r="D1120" s="1037"/>
      <c r="E1120" s="1037"/>
      <c r="F1120" s="1037"/>
      <c r="G1120" s="1037"/>
      <c r="H1120" s="1018"/>
      <c r="I1120" s="1037"/>
      <c r="J1120" s="1037"/>
      <c r="K1120" s="1037"/>
      <c r="L1120" s="1037"/>
      <c r="M1120" s="1037"/>
      <c r="N1120" s="1037"/>
      <c r="O1120" s="1037"/>
      <c r="P1120" s="1037"/>
      <c r="Q1120" s="1037"/>
      <c r="R1120" s="1037"/>
      <c r="S1120" s="1037"/>
      <c r="T1120" s="1037"/>
      <c r="U1120" s="1037"/>
      <c r="V1120" s="1037"/>
      <c r="W1120" s="1037"/>
      <c r="X1120" s="1037"/>
      <c r="Y1120" s="1037"/>
      <c r="Z1120" s="1037"/>
      <c r="AA1120" s="1037"/>
      <c r="AB1120" s="1037"/>
      <c r="AC1120" s="1037"/>
      <c r="AD1120" s="1037"/>
      <c r="AE1120" s="1037"/>
      <c r="AF1120" s="1037"/>
      <c r="AG1120" s="1037"/>
      <c r="AH1120" s="1037"/>
      <c r="AI1120" s="1037"/>
      <c r="AJ1120" s="1037"/>
      <c r="AK1120" s="1037"/>
      <c r="AL1120" s="1037"/>
      <c r="AM1120" s="1037"/>
      <c r="AN1120" s="1037"/>
      <c r="AO1120" s="1037"/>
      <c r="AP1120" s="1037"/>
    </row>
    <row r="1121" spans="1:42" s="226" customFormat="1">
      <c r="A1121" s="2060"/>
      <c r="B1121" s="1037"/>
      <c r="C1121" s="1037"/>
      <c r="D1121" s="1037"/>
      <c r="E1121" s="1037"/>
      <c r="F1121" s="1037"/>
      <c r="G1121" s="1037"/>
      <c r="H1121" s="1018"/>
      <c r="I1121" s="1037"/>
      <c r="J1121" s="1037"/>
      <c r="K1121" s="1037"/>
      <c r="L1121" s="1037"/>
      <c r="M1121" s="1037"/>
      <c r="N1121" s="1037"/>
      <c r="O1121" s="1037"/>
      <c r="P1121" s="1037"/>
      <c r="Q1121" s="1037"/>
      <c r="R1121" s="1037"/>
      <c r="S1121" s="1037"/>
      <c r="T1121" s="1037"/>
      <c r="U1121" s="1037"/>
      <c r="V1121" s="1037"/>
      <c r="W1121" s="1037"/>
      <c r="X1121" s="1037"/>
      <c r="Y1121" s="1037"/>
      <c r="Z1121" s="1037"/>
      <c r="AA1121" s="1037"/>
      <c r="AB1121" s="1037"/>
      <c r="AC1121" s="1037"/>
      <c r="AD1121" s="1037"/>
      <c r="AE1121" s="1037"/>
      <c r="AF1121" s="1037"/>
      <c r="AG1121" s="1037"/>
      <c r="AH1121" s="1037"/>
      <c r="AI1121" s="1037"/>
      <c r="AJ1121" s="1037"/>
      <c r="AK1121" s="1037"/>
      <c r="AL1121" s="1037"/>
      <c r="AM1121" s="1037"/>
      <c r="AN1121" s="1037"/>
      <c r="AO1121" s="1037"/>
      <c r="AP1121" s="1037"/>
    </row>
    <row r="1122" spans="1:42" s="226" customFormat="1">
      <c r="A1122" s="2060"/>
      <c r="B1122" s="1037"/>
      <c r="C1122" s="1037"/>
      <c r="D1122" s="1037"/>
      <c r="E1122" s="1037"/>
      <c r="F1122" s="1037"/>
      <c r="G1122" s="1037"/>
      <c r="H1122" s="1018"/>
      <c r="I1122" s="1037"/>
      <c r="J1122" s="1037"/>
      <c r="K1122" s="1037"/>
      <c r="L1122" s="1037"/>
      <c r="M1122" s="1037"/>
      <c r="N1122" s="1037"/>
      <c r="O1122" s="1037"/>
      <c r="P1122" s="1037"/>
      <c r="Q1122" s="1037"/>
      <c r="R1122" s="1037"/>
      <c r="S1122" s="1037"/>
      <c r="T1122" s="1037"/>
      <c r="U1122" s="1037"/>
      <c r="V1122" s="1037"/>
      <c r="W1122" s="1037"/>
      <c r="X1122" s="1037"/>
      <c r="Y1122" s="1037"/>
      <c r="Z1122" s="1037"/>
      <c r="AA1122" s="1037"/>
      <c r="AB1122" s="1037"/>
      <c r="AC1122" s="1037"/>
      <c r="AD1122" s="1037"/>
      <c r="AE1122" s="1037"/>
      <c r="AF1122" s="1037"/>
      <c r="AG1122" s="1037"/>
      <c r="AH1122" s="1037"/>
      <c r="AI1122" s="1037"/>
      <c r="AJ1122" s="1037"/>
      <c r="AK1122" s="1037"/>
      <c r="AL1122" s="1037"/>
      <c r="AM1122" s="1037"/>
      <c r="AN1122" s="1037"/>
      <c r="AO1122" s="1037"/>
      <c r="AP1122" s="1037"/>
    </row>
    <row r="1123" spans="1:42" s="226" customFormat="1">
      <c r="A1123" s="2060"/>
      <c r="B1123" s="1037"/>
      <c r="C1123" s="1037"/>
      <c r="D1123" s="1037"/>
      <c r="E1123" s="1037"/>
      <c r="F1123" s="1037"/>
      <c r="G1123" s="1037"/>
      <c r="H1123" s="1018"/>
      <c r="I1123" s="1037"/>
      <c r="J1123" s="1037"/>
      <c r="K1123" s="1037"/>
      <c r="L1123" s="1037"/>
      <c r="M1123" s="1037"/>
      <c r="N1123" s="1037"/>
      <c r="O1123" s="1037"/>
      <c r="P1123" s="1037"/>
      <c r="Q1123" s="1037"/>
      <c r="R1123" s="1037"/>
      <c r="S1123" s="1037"/>
      <c r="T1123" s="1037"/>
      <c r="U1123" s="1037"/>
      <c r="V1123" s="1037"/>
      <c r="W1123" s="1037"/>
      <c r="X1123" s="1037"/>
      <c r="Y1123" s="1037"/>
      <c r="Z1123" s="1037"/>
      <c r="AA1123" s="1037"/>
      <c r="AB1123" s="1037"/>
      <c r="AC1123" s="1037"/>
      <c r="AD1123" s="1037"/>
      <c r="AE1123" s="1037"/>
      <c r="AF1123" s="1037"/>
      <c r="AG1123" s="1037"/>
      <c r="AH1123" s="1037"/>
      <c r="AI1123" s="1037"/>
      <c r="AJ1123" s="1037"/>
      <c r="AK1123" s="1037"/>
      <c r="AL1123" s="1037"/>
      <c r="AM1123" s="1037"/>
      <c r="AN1123" s="1037"/>
      <c r="AO1123" s="1037"/>
      <c r="AP1123" s="1037"/>
    </row>
    <row r="1124" spans="1:42" s="226" customFormat="1">
      <c r="A1124" s="2060"/>
      <c r="B1124" s="1037"/>
      <c r="C1124" s="1037"/>
      <c r="D1124" s="1037"/>
      <c r="E1124" s="1037"/>
      <c r="F1124" s="1037"/>
      <c r="G1124" s="1037"/>
      <c r="H1124" s="1018"/>
      <c r="I1124" s="1037"/>
      <c r="J1124" s="1037"/>
      <c r="K1124" s="1037"/>
      <c r="L1124" s="1037"/>
      <c r="M1124" s="1037"/>
      <c r="N1124" s="1037"/>
      <c r="O1124" s="1037"/>
      <c r="P1124" s="1037"/>
      <c r="Q1124" s="1037"/>
      <c r="R1124" s="1037"/>
      <c r="S1124" s="1037"/>
      <c r="T1124" s="1037"/>
      <c r="U1124" s="1037"/>
      <c r="V1124" s="1037"/>
      <c r="W1124" s="1037"/>
      <c r="X1124" s="1037"/>
      <c r="Y1124" s="1037"/>
      <c r="Z1124" s="1037"/>
      <c r="AA1124" s="1037"/>
      <c r="AB1124" s="1037"/>
      <c r="AC1124" s="1037"/>
      <c r="AD1124" s="1037"/>
      <c r="AE1124" s="1037"/>
      <c r="AF1124" s="1037"/>
      <c r="AG1124" s="1037"/>
      <c r="AH1124" s="1037"/>
      <c r="AI1124" s="1037"/>
      <c r="AJ1124" s="1037"/>
      <c r="AK1124" s="1037"/>
      <c r="AL1124" s="1037"/>
      <c r="AM1124" s="1037"/>
      <c r="AN1124" s="1037"/>
      <c r="AO1124" s="1037"/>
      <c r="AP1124" s="1037"/>
    </row>
    <row r="1125" spans="1:42" s="226" customFormat="1">
      <c r="A1125" s="2060"/>
      <c r="B1125" s="1037"/>
      <c r="C1125" s="1037"/>
      <c r="D1125" s="1037"/>
      <c r="E1125" s="1037"/>
      <c r="F1125" s="1037"/>
      <c r="G1125" s="1037"/>
      <c r="H1125" s="1018"/>
      <c r="I1125" s="1037"/>
      <c r="J1125" s="1037"/>
      <c r="K1125" s="1037"/>
      <c r="L1125" s="1037"/>
      <c r="M1125" s="1037"/>
      <c r="N1125" s="1037"/>
      <c r="O1125" s="1037"/>
      <c r="P1125" s="1037"/>
      <c r="Q1125" s="1037"/>
      <c r="R1125" s="1037"/>
      <c r="S1125" s="1037"/>
      <c r="T1125" s="1037"/>
      <c r="U1125" s="1037"/>
      <c r="V1125" s="1037"/>
      <c r="W1125" s="1037"/>
      <c r="X1125" s="1037"/>
      <c r="Y1125" s="1037"/>
      <c r="Z1125" s="1037"/>
      <c r="AA1125" s="1037"/>
      <c r="AB1125" s="1037"/>
      <c r="AC1125" s="1037"/>
      <c r="AD1125" s="1037"/>
      <c r="AE1125" s="1037"/>
      <c r="AF1125" s="1037"/>
      <c r="AG1125" s="1037"/>
      <c r="AH1125" s="1037"/>
      <c r="AI1125" s="1037"/>
      <c r="AJ1125" s="1037"/>
      <c r="AK1125" s="1037"/>
      <c r="AL1125" s="1037"/>
      <c r="AM1125" s="1037"/>
      <c r="AN1125" s="1037"/>
      <c r="AO1125" s="1037"/>
      <c r="AP1125" s="1037"/>
    </row>
    <row r="1126" spans="1:42" s="226" customFormat="1">
      <c r="A1126" s="2060"/>
      <c r="B1126" s="1037"/>
      <c r="C1126" s="1037"/>
      <c r="D1126" s="1037"/>
      <c r="E1126" s="1037"/>
      <c r="F1126" s="1037"/>
      <c r="G1126" s="1037"/>
      <c r="H1126" s="1018"/>
      <c r="I1126" s="1037"/>
      <c r="J1126" s="1037"/>
      <c r="K1126" s="1037"/>
      <c r="L1126" s="1037"/>
      <c r="M1126" s="1037"/>
      <c r="N1126" s="1037"/>
      <c r="O1126" s="1037"/>
      <c r="P1126" s="1037"/>
      <c r="Q1126" s="1037"/>
      <c r="R1126" s="1037"/>
      <c r="S1126" s="1037"/>
      <c r="T1126" s="1037"/>
      <c r="U1126" s="1037"/>
      <c r="V1126" s="1037"/>
      <c r="W1126" s="1037"/>
      <c r="X1126" s="1037"/>
      <c r="Y1126" s="1037"/>
      <c r="Z1126" s="1037"/>
      <c r="AA1126" s="1037"/>
      <c r="AB1126" s="1037"/>
      <c r="AC1126" s="1037"/>
      <c r="AD1126" s="1037"/>
      <c r="AE1126" s="1037"/>
      <c r="AF1126" s="1037"/>
      <c r="AG1126" s="1037"/>
      <c r="AH1126" s="1037"/>
      <c r="AI1126" s="1037"/>
      <c r="AJ1126" s="1037"/>
      <c r="AK1126" s="1037"/>
      <c r="AL1126" s="1037"/>
      <c r="AM1126" s="1037"/>
      <c r="AN1126" s="1037"/>
      <c r="AO1126" s="1037"/>
      <c r="AP1126" s="1037"/>
    </row>
    <row r="1127" spans="1:42" s="226" customFormat="1">
      <c r="A1127" s="2060"/>
      <c r="B1127" s="1037"/>
      <c r="C1127" s="1037"/>
      <c r="D1127" s="1037"/>
      <c r="E1127" s="1037"/>
      <c r="F1127" s="1037"/>
      <c r="G1127" s="1037"/>
      <c r="H1127" s="1018"/>
      <c r="I1127" s="1037"/>
      <c r="J1127" s="1037"/>
      <c r="K1127" s="1037"/>
      <c r="L1127" s="1037"/>
      <c r="M1127" s="1037"/>
      <c r="N1127" s="1037"/>
      <c r="O1127" s="1037"/>
      <c r="P1127" s="1037"/>
      <c r="Q1127" s="1037"/>
      <c r="R1127" s="1037"/>
      <c r="S1127" s="1037"/>
      <c r="T1127" s="1037"/>
      <c r="U1127" s="1037"/>
      <c r="V1127" s="1037"/>
      <c r="W1127" s="1037"/>
      <c r="X1127" s="1037"/>
      <c r="Y1127" s="1037"/>
      <c r="Z1127" s="1037"/>
      <c r="AA1127" s="1037"/>
      <c r="AB1127" s="1037"/>
      <c r="AC1127" s="1037"/>
      <c r="AD1127" s="1037"/>
      <c r="AE1127" s="1037"/>
      <c r="AF1127" s="1037"/>
      <c r="AG1127" s="1037"/>
      <c r="AH1127" s="1037"/>
      <c r="AI1127" s="1037"/>
      <c r="AJ1127" s="1037"/>
      <c r="AK1127" s="1037"/>
      <c r="AL1127" s="1037"/>
      <c r="AM1127" s="1037"/>
      <c r="AN1127" s="1037"/>
      <c r="AO1127" s="1037"/>
      <c r="AP1127" s="1037"/>
    </row>
    <row r="1128" spans="1:42" s="226" customFormat="1">
      <c r="A1128" s="2060"/>
      <c r="B1128" s="1037"/>
      <c r="C1128" s="1037"/>
      <c r="D1128" s="1037"/>
      <c r="E1128" s="1037"/>
      <c r="F1128" s="1037"/>
      <c r="G1128" s="1037"/>
      <c r="H1128" s="1018"/>
      <c r="I1128" s="1037"/>
      <c r="J1128" s="1037"/>
      <c r="K1128" s="1037"/>
      <c r="L1128" s="1037"/>
      <c r="M1128" s="1037"/>
      <c r="N1128" s="1037"/>
      <c r="O1128" s="1037"/>
      <c r="P1128" s="1037"/>
      <c r="Q1128" s="1037"/>
      <c r="R1128" s="1037"/>
      <c r="S1128" s="1037"/>
      <c r="T1128" s="1037"/>
      <c r="U1128" s="1037"/>
      <c r="V1128" s="1037"/>
      <c r="W1128" s="1037"/>
      <c r="X1128" s="1037"/>
      <c r="Y1128" s="1037"/>
      <c r="Z1128" s="1037"/>
      <c r="AA1128" s="1037"/>
      <c r="AB1128" s="1037"/>
      <c r="AC1128" s="1037"/>
      <c r="AD1128" s="1037"/>
      <c r="AE1128" s="1037"/>
      <c r="AF1128" s="1037"/>
      <c r="AG1128" s="1037"/>
      <c r="AH1128" s="1037"/>
      <c r="AI1128" s="1037"/>
      <c r="AJ1128" s="1037"/>
      <c r="AK1128" s="1037"/>
      <c r="AL1128" s="1037"/>
      <c r="AM1128" s="1037"/>
      <c r="AN1128" s="1037"/>
      <c r="AO1128" s="1037"/>
      <c r="AP1128" s="1037"/>
    </row>
    <row r="1129" spans="1:42" s="226" customFormat="1">
      <c r="A1129" s="2060"/>
      <c r="B1129" s="1037"/>
      <c r="C1129" s="1037"/>
      <c r="D1129" s="1037"/>
      <c r="E1129" s="1037"/>
      <c r="F1129" s="1037"/>
      <c r="G1129" s="1037"/>
      <c r="H1129" s="1018"/>
      <c r="I1129" s="1037"/>
      <c r="J1129" s="1037"/>
      <c r="K1129" s="1037"/>
      <c r="L1129" s="1037"/>
      <c r="M1129" s="1037"/>
      <c r="N1129" s="1037"/>
      <c r="O1129" s="1037"/>
      <c r="P1129" s="1037"/>
      <c r="Q1129" s="1037"/>
      <c r="R1129" s="1037"/>
      <c r="S1129" s="1037"/>
      <c r="T1129" s="1037"/>
      <c r="U1129" s="1037"/>
      <c r="V1129" s="1037"/>
      <c r="W1129" s="1037"/>
      <c r="X1129" s="1037"/>
      <c r="Y1129" s="1037"/>
      <c r="Z1129" s="1037"/>
      <c r="AA1129" s="1037"/>
      <c r="AB1129" s="1037"/>
      <c r="AC1129" s="1037"/>
      <c r="AD1129" s="1037"/>
      <c r="AE1129" s="1037"/>
      <c r="AF1129" s="1037"/>
      <c r="AG1129" s="1037"/>
      <c r="AH1129" s="1037"/>
      <c r="AI1129" s="1037"/>
      <c r="AJ1129" s="1037"/>
      <c r="AK1129" s="1037"/>
      <c r="AL1129" s="1037"/>
      <c r="AM1129" s="1037"/>
      <c r="AN1129" s="1037"/>
      <c r="AO1129" s="1037"/>
      <c r="AP1129" s="1037"/>
    </row>
    <row r="1130" spans="1:42" s="226" customFormat="1">
      <c r="A1130" s="2060"/>
      <c r="B1130" s="1037"/>
      <c r="C1130" s="1037"/>
      <c r="D1130" s="1037"/>
      <c r="E1130" s="1037"/>
      <c r="F1130" s="1037"/>
      <c r="G1130" s="1037"/>
      <c r="H1130" s="1018"/>
      <c r="I1130" s="1037"/>
      <c r="J1130" s="1037"/>
      <c r="K1130" s="1037"/>
      <c r="L1130" s="1037"/>
      <c r="M1130" s="1037"/>
      <c r="N1130" s="1037"/>
      <c r="O1130" s="1037"/>
      <c r="P1130" s="1037"/>
      <c r="Q1130" s="1037"/>
      <c r="R1130" s="1037"/>
      <c r="S1130" s="1037"/>
      <c r="T1130" s="1037"/>
      <c r="U1130" s="1037"/>
      <c r="V1130" s="1037"/>
      <c r="W1130" s="1037"/>
      <c r="X1130" s="1037"/>
      <c r="Y1130" s="1037"/>
      <c r="Z1130" s="1037"/>
      <c r="AA1130" s="1037"/>
      <c r="AB1130" s="1037"/>
      <c r="AC1130" s="1037"/>
      <c r="AD1130" s="1037"/>
      <c r="AE1130" s="1037"/>
      <c r="AF1130" s="1037"/>
      <c r="AG1130" s="1037"/>
      <c r="AH1130" s="1037"/>
      <c r="AI1130" s="1037"/>
      <c r="AJ1130" s="1037"/>
      <c r="AK1130" s="1037"/>
      <c r="AL1130" s="1037"/>
      <c r="AM1130" s="1037"/>
      <c r="AN1130" s="1037"/>
      <c r="AO1130" s="1037"/>
      <c r="AP1130" s="1037"/>
    </row>
    <row r="1131" spans="1:42" s="226" customFormat="1">
      <c r="A1131" s="2060"/>
      <c r="B1131" s="1037"/>
      <c r="C1131" s="1037"/>
      <c r="D1131" s="1037"/>
      <c r="E1131" s="1037"/>
      <c r="F1131" s="1037"/>
      <c r="G1131" s="1037"/>
      <c r="H1131" s="1018"/>
      <c r="I1131" s="1037"/>
      <c r="J1131" s="1037"/>
      <c r="K1131" s="1037"/>
      <c r="L1131" s="1037"/>
      <c r="M1131" s="1037"/>
      <c r="N1131" s="1037"/>
      <c r="O1131" s="1037"/>
      <c r="P1131" s="1037"/>
      <c r="Q1131" s="1037"/>
      <c r="R1131" s="1037"/>
      <c r="S1131" s="1037"/>
      <c r="T1131" s="1037"/>
      <c r="U1131" s="1037"/>
      <c r="V1131" s="1037"/>
      <c r="W1131" s="1037"/>
      <c r="X1131" s="1037"/>
      <c r="Y1131" s="1037"/>
      <c r="Z1131" s="1037"/>
      <c r="AA1131" s="1037"/>
      <c r="AB1131" s="1037"/>
      <c r="AC1131" s="1037"/>
      <c r="AD1131" s="1037"/>
      <c r="AE1131" s="1037"/>
      <c r="AF1131" s="1037"/>
      <c r="AG1131" s="1037"/>
      <c r="AH1131" s="1037"/>
      <c r="AI1131" s="1037"/>
      <c r="AJ1131" s="1037"/>
      <c r="AK1131" s="1037"/>
      <c r="AL1131" s="1037"/>
      <c r="AM1131" s="1037"/>
      <c r="AN1131" s="1037"/>
      <c r="AO1131" s="1037"/>
      <c r="AP1131" s="1037"/>
    </row>
    <row r="1132" spans="1:42" s="226" customFormat="1">
      <c r="A1132" s="2060"/>
      <c r="B1132" s="1037"/>
      <c r="C1132" s="1037"/>
      <c r="D1132" s="1037"/>
      <c r="E1132" s="1037"/>
      <c r="F1132" s="1037"/>
      <c r="G1132" s="1037"/>
      <c r="H1132" s="1018"/>
      <c r="I1132" s="1037"/>
      <c r="J1132" s="1037"/>
      <c r="K1132" s="1037"/>
      <c r="L1132" s="1037"/>
      <c r="M1132" s="1037"/>
      <c r="N1132" s="1037"/>
      <c r="O1132" s="1037"/>
      <c r="P1132" s="1037"/>
      <c r="Q1132" s="1037"/>
      <c r="R1132" s="1037"/>
      <c r="S1132" s="1037"/>
      <c r="T1132" s="1037"/>
      <c r="U1132" s="1037"/>
      <c r="V1132" s="1037"/>
      <c r="W1132" s="1037"/>
      <c r="X1132" s="1037"/>
      <c r="Y1132" s="1037"/>
      <c r="Z1132" s="1037"/>
      <c r="AA1132" s="1037"/>
      <c r="AB1132" s="1037"/>
      <c r="AC1132" s="1037"/>
      <c r="AD1132" s="1037"/>
      <c r="AE1132" s="1037"/>
      <c r="AF1132" s="1037"/>
      <c r="AG1132" s="1037"/>
      <c r="AH1132" s="1037"/>
      <c r="AI1132" s="1037"/>
      <c r="AJ1132" s="1037"/>
      <c r="AK1132" s="1037"/>
      <c r="AL1132" s="1037"/>
      <c r="AM1132" s="1037"/>
      <c r="AN1132" s="1037"/>
      <c r="AO1132" s="1037"/>
      <c r="AP1132" s="1037"/>
    </row>
    <row r="1133" spans="1:42" s="226" customFormat="1">
      <c r="A1133" s="2060"/>
      <c r="B1133" s="1037"/>
      <c r="C1133" s="1037"/>
      <c r="D1133" s="1037"/>
      <c r="E1133" s="1037"/>
      <c r="F1133" s="1037"/>
      <c r="G1133" s="1037"/>
      <c r="H1133" s="1018"/>
      <c r="I1133" s="1037"/>
      <c r="J1133" s="1037"/>
      <c r="K1133" s="1037"/>
      <c r="L1133" s="1037"/>
      <c r="M1133" s="1037"/>
      <c r="N1133" s="1037"/>
      <c r="O1133" s="1037"/>
      <c r="P1133" s="1037"/>
      <c r="Q1133" s="1037"/>
      <c r="R1133" s="1037"/>
      <c r="S1133" s="1037"/>
      <c r="T1133" s="1037"/>
      <c r="U1133" s="1037"/>
      <c r="V1133" s="1037"/>
      <c r="W1133" s="1037"/>
      <c r="X1133" s="1037"/>
      <c r="Y1133" s="1037"/>
      <c r="Z1133" s="1037"/>
      <c r="AA1133" s="1037"/>
      <c r="AB1133" s="1037"/>
      <c r="AC1133" s="1037"/>
      <c r="AD1133" s="1037"/>
      <c r="AE1133" s="1037"/>
      <c r="AF1133" s="1037"/>
      <c r="AG1133" s="1037"/>
      <c r="AH1133" s="1037"/>
      <c r="AI1133" s="1037"/>
      <c r="AJ1133" s="1037"/>
      <c r="AK1133" s="1037"/>
      <c r="AL1133" s="1037"/>
      <c r="AM1133" s="1037"/>
      <c r="AN1133" s="1037"/>
      <c r="AO1133" s="1037"/>
      <c r="AP1133" s="1037"/>
    </row>
    <row r="1134" spans="1:42" s="226" customFormat="1">
      <c r="A1134" s="2060"/>
      <c r="B1134" s="1037"/>
      <c r="C1134" s="1037"/>
      <c r="D1134" s="1037"/>
      <c r="E1134" s="1037"/>
      <c r="F1134" s="1037"/>
      <c r="G1134" s="1037"/>
      <c r="H1134" s="1018"/>
      <c r="I1134" s="1037"/>
      <c r="J1134" s="1037"/>
      <c r="K1134" s="1037"/>
      <c r="L1134" s="1037"/>
      <c r="M1134" s="1037"/>
      <c r="N1134" s="1037"/>
      <c r="O1134" s="1037"/>
      <c r="P1134" s="1037"/>
      <c r="Q1134" s="1037"/>
      <c r="R1134" s="1037"/>
      <c r="S1134" s="1037"/>
      <c r="T1134" s="1037"/>
      <c r="U1134" s="1037"/>
      <c r="V1134" s="1037"/>
      <c r="W1134" s="1037"/>
      <c r="X1134" s="1037"/>
      <c r="Y1134" s="1037"/>
      <c r="Z1134" s="1037"/>
      <c r="AA1134" s="1037"/>
      <c r="AB1134" s="1037"/>
      <c r="AC1134" s="1037"/>
      <c r="AD1134" s="1037"/>
      <c r="AE1134" s="1037"/>
      <c r="AF1134" s="1037"/>
      <c r="AG1134" s="1037"/>
      <c r="AH1134" s="1037"/>
      <c r="AI1134" s="1037"/>
      <c r="AJ1134" s="1037"/>
      <c r="AK1134" s="1037"/>
      <c r="AL1134" s="1037"/>
      <c r="AM1134" s="1037"/>
      <c r="AN1134" s="1037"/>
      <c r="AO1134" s="1037"/>
      <c r="AP1134" s="1037"/>
    </row>
    <row r="1135" spans="1:42" s="226" customFormat="1">
      <c r="A1135" s="2060"/>
      <c r="B1135" s="1037"/>
      <c r="C1135" s="1037"/>
      <c r="D1135" s="1037"/>
      <c r="E1135" s="1037"/>
      <c r="F1135" s="1037"/>
      <c r="G1135" s="1037"/>
      <c r="H1135" s="1018"/>
      <c r="I1135" s="1037"/>
      <c r="J1135" s="1037"/>
      <c r="K1135" s="1037"/>
      <c r="L1135" s="1037"/>
      <c r="M1135" s="1037"/>
      <c r="N1135" s="1037"/>
      <c r="O1135" s="1037"/>
      <c r="P1135" s="1037"/>
      <c r="Q1135" s="1037"/>
      <c r="R1135" s="1037"/>
      <c r="S1135" s="1037"/>
      <c r="T1135" s="1037"/>
      <c r="U1135" s="1037"/>
      <c r="V1135" s="1037"/>
      <c r="W1135" s="1037"/>
      <c r="X1135" s="1037"/>
      <c r="Y1135" s="1037"/>
      <c r="Z1135" s="1037"/>
      <c r="AA1135" s="1037"/>
      <c r="AB1135" s="1037"/>
      <c r="AC1135" s="1037"/>
      <c r="AD1135" s="1037"/>
      <c r="AE1135" s="1037"/>
      <c r="AF1135" s="1037"/>
      <c r="AG1135" s="1037"/>
      <c r="AH1135" s="1037"/>
      <c r="AI1135" s="1037"/>
      <c r="AJ1135" s="1037"/>
      <c r="AK1135" s="1037"/>
      <c r="AL1135" s="1037"/>
      <c r="AM1135" s="1037"/>
      <c r="AN1135" s="1037"/>
      <c r="AO1135" s="1037"/>
      <c r="AP1135" s="1037"/>
    </row>
    <row r="1136" spans="1:42" s="226" customFormat="1">
      <c r="A1136" s="2060"/>
      <c r="B1136" s="1037"/>
      <c r="C1136" s="1037"/>
      <c r="D1136" s="1037"/>
      <c r="E1136" s="1037"/>
      <c r="F1136" s="1037"/>
      <c r="G1136" s="1037"/>
      <c r="H1136" s="1018"/>
      <c r="I1136" s="1037"/>
      <c r="J1136" s="1037"/>
      <c r="K1136" s="1037"/>
      <c r="L1136" s="1037"/>
      <c r="M1136" s="1037"/>
      <c r="N1136" s="1037"/>
      <c r="O1136" s="1037"/>
      <c r="P1136" s="1037"/>
      <c r="Q1136" s="1037"/>
      <c r="R1136" s="1037"/>
      <c r="S1136" s="1037"/>
      <c r="T1136" s="1037"/>
      <c r="U1136" s="1037"/>
      <c r="V1136" s="1037"/>
      <c r="W1136" s="1037"/>
      <c r="X1136" s="1037"/>
      <c r="Y1136" s="1037"/>
      <c r="Z1136" s="1037"/>
      <c r="AA1136" s="1037"/>
      <c r="AB1136" s="1037"/>
      <c r="AC1136" s="1037"/>
      <c r="AD1136" s="1037"/>
      <c r="AE1136" s="1037"/>
      <c r="AF1136" s="1037"/>
      <c r="AG1136" s="1037"/>
      <c r="AH1136" s="1037"/>
      <c r="AI1136" s="1037"/>
      <c r="AJ1136" s="1037"/>
      <c r="AK1136" s="1037"/>
      <c r="AL1136" s="1037"/>
      <c r="AM1136" s="1037"/>
      <c r="AN1136" s="1037"/>
      <c r="AO1136" s="1037"/>
      <c r="AP1136" s="1037"/>
    </row>
    <row r="1137" spans="1:42" s="226" customFormat="1">
      <c r="A1137" s="2060"/>
      <c r="B1137" s="1037"/>
      <c r="C1137" s="1037"/>
      <c r="D1137" s="1037"/>
      <c r="E1137" s="1037"/>
      <c r="F1137" s="1037"/>
      <c r="G1137" s="1037"/>
      <c r="H1137" s="1018"/>
      <c r="I1137" s="1037"/>
      <c r="J1137" s="1037"/>
      <c r="K1137" s="1037"/>
      <c r="L1137" s="1037"/>
      <c r="M1137" s="1037"/>
      <c r="N1137" s="1037"/>
      <c r="O1137" s="1037"/>
      <c r="P1137" s="1037"/>
      <c r="Q1137" s="1037"/>
      <c r="R1137" s="1037"/>
      <c r="S1137" s="1037"/>
      <c r="T1137" s="1037"/>
      <c r="U1137" s="1037"/>
      <c r="V1137" s="1037"/>
      <c r="W1137" s="1037"/>
      <c r="X1137" s="1037"/>
      <c r="Y1137" s="1037"/>
      <c r="Z1137" s="1037"/>
      <c r="AA1137" s="1037"/>
      <c r="AB1137" s="1037"/>
      <c r="AC1137" s="1037"/>
      <c r="AD1137" s="1037"/>
      <c r="AE1137" s="1037"/>
      <c r="AF1137" s="1037"/>
      <c r="AG1137" s="1037"/>
      <c r="AH1137" s="1037"/>
      <c r="AI1137" s="1037"/>
      <c r="AJ1137" s="1037"/>
      <c r="AK1137" s="1037"/>
      <c r="AL1137" s="1037"/>
      <c r="AM1137" s="1037"/>
      <c r="AN1137" s="1037"/>
      <c r="AO1137" s="1037"/>
      <c r="AP1137" s="1037"/>
    </row>
    <row r="1138" spans="1:42" s="226" customFormat="1">
      <c r="A1138" s="2060"/>
      <c r="B1138" s="1037"/>
      <c r="C1138" s="1037"/>
      <c r="D1138" s="1037"/>
      <c r="E1138" s="1037"/>
      <c r="F1138" s="1037"/>
      <c r="G1138" s="1037"/>
      <c r="H1138" s="1018"/>
      <c r="I1138" s="1037"/>
      <c r="J1138" s="1037"/>
      <c r="K1138" s="1037"/>
      <c r="L1138" s="1037"/>
      <c r="M1138" s="1037"/>
      <c r="N1138" s="1037"/>
      <c r="O1138" s="1037"/>
      <c r="P1138" s="1037"/>
      <c r="Q1138" s="1037"/>
      <c r="R1138" s="1037"/>
      <c r="S1138" s="1037"/>
      <c r="T1138" s="1037"/>
      <c r="U1138" s="1037"/>
      <c r="V1138" s="1037"/>
      <c r="W1138" s="1037"/>
      <c r="X1138" s="1037"/>
      <c r="Y1138" s="1037"/>
      <c r="Z1138" s="1037"/>
      <c r="AA1138" s="1037"/>
      <c r="AB1138" s="1037"/>
      <c r="AC1138" s="1037"/>
      <c r="AD1138" s="1037"/>
      <c r="AE1138" s="1037"/>
      <c r="AF1138" s="1037"/>
      <c r="AG1138" s="1037"/>
      <c r="AH1138" s="1037"/>
      <c r="AI1138" s="1037"/>
      <c r="AJ1138" s="1037"/>
      <c r="AK1138" s="1037"/>
      <c r="AL1138" s="1037"/>
      <c r="AM1138" s="1037"/>
      <c r="AN1138" s="1037"/>
      <c r="AO1138" s="1037"/>
      <c r="AP1138" s="1037"/>
    </row>
    <row r="1139" spans="1:42" s="226" customFormat="1">
      <c r="A1139" s="2060"/>
      <c r="B1139" s="1037"/>
      <c r="C1139" s="1037"/>
      <c r="D1139" s="1037"/>
      <c r="E1139" s="1037"/>
      <c r="F1139" s="1037"/>
      <c r="G1139" s="1037"/>
      <c r="H1139" s="1018"/>
      <c r="I1139" s="1037"/>
      <c r="J1139" s="1037"/>
      <c r="K1139" s="1037"/>
      <c r="L1139" s="1037"/>
      <c r="M1139" s="1037"/>
      <c r="N1139" s="1037"/>
      <c r="O1139" s="1037"/>
      <c r="P1139" s="1037"/>
      <c r="Q1139" s="1037"/>
      <c r="R1139" s="1037"/>
      <c r="S1139" s="1037"/>
      <c r="T1139" s="1037"/>
      <c r="U1139" s="1037"/>
      <c r="V1139" s="1037"/>
      <c r="W1139" s="1037"/>
      <c r="X1139" s="1037"/>
      <c r="Y1139" s="1037"/>
      <c r="Z1139" s="1037"/>
      <c r="AA1139" s="1037"/>
      <c r="AB1139" s="1037"/>
      <c r="AC1139" s="1037"/>
      <c r="AD1139" s="1037"/>
      <c r="AE1139" s="1037"/>
      <c r="AF1139" s="1037"/>
      <c r="AG1139" s="1037"/>
      <c r="AH1139" s="1037"/>
      <c r="AI1139" s="1037"/>
      <c r="AJ1139" s="1037"/>
      <c r="AK1139" s="1037"/>
      <c r="AL1139" s="1037"/>
      <c r="AM1139" s="1037"/>
      <c r="AN1139" s="1037"/>
      <c r="AO1139" s="1037"/>
      <c r="AP1139" s="1037"/>
    </row>
    <row r="1140" spans="1:42" s="226" customFormat="1">
      <c r="A1140" s="2060"/>
      <c r="B1140" s="1037"/>
      <c r="C1140" s="1037"/>
      <c r="D1140" s="1037"/>
      <c r="E1140" s="1037"/>
      <c r="F1140" s="1037"/>
      <c r="G1140" s="1037"/>
      <c r="H1140" s="1018"/>
      <c r="I1140" s="1037"/>
      <c r="J1140" s="1037"/>
      <c r="K1140" s="1037"/>
      <c r="L1140" s="1037"/>
      <c r="M1140" s="1037"/>
      <c r="N1140" s="1037"/>
      <c r="O1140" s="1037"/>
      <c r="P1140" s="1037"/>
      <c r="Q1140" s="1037"/>
      <c r="R1140" s="1037"/>
      <c r="S1140" s="1037"/>
      <c r="T1140" s="1037"/>
      <c r="U1140" s="1037"/>
      <c r="V1140" s="1037"/>
      <c r="W1140" s="1037"/>
      <c r="X1140" s="1037"/>
      <c r="Y1140" s="1037"/>
      <c r="Z1140" s="1037"/>
      <c r="AA1140" s="1037"/>
      <c r="AB1140" s="1037"/>
      <c r="AC1140" s="1037"/>
      <c r="AD1140" s="1037"/>
      <c r="AE1140" s="1037"/>
      <c r="AF1140" s="1037"/>
      <c r="AG1140" s="1037"/>
      <c r="AH1140" s="1037"/>
      <c r="AI1140" s="1037"/>
      <c r="AJ1140" s="1037"/>
      <c r="AK1140" s="1037"/>
      <c r="AL1140" s="1037"/>
      <c r="AM1140" s="1037"/>
      <c r="AN1140" s="1037"/>
      <c r="AO1140" s="1037"/>
      <c r="AP1140" s="1037"/>
    </row>
    <row r="1141" spans="1:42" s="226" customFormat="1">
      <c r="A1141" s="2060"/>
      <c r="B1141" s="1037"/>
      <c r="C1141" s="1037"/>
      <c r="D1141" s="1037"/>
      <c r="E1141" s="1037"/>
      <c r="F1141" s="1037"/>
      <c r="G1141" s="1037"/>
      <c r="H1141" s="1018"/>
      <c r="I1141" s="1037"/>
      <c r="J1141" s="1037"/>
      <c r="K1141" s="1037"/>
      <c r="L1141" s="1037"/>
      <c r="M1141" s="1037"/>
      <c r="N1141" s="1037"/>
      <c r="O1141" s="1037"/>
      <c r="P1141" s="1037"/>
      <c r="Q1141" s="1037"/>
      <c r="R1141" s="1037"/>
      <c r="S1141" s="1037"/>
      <c r="T1141" s="1037"/>
      <c r="U1141" s="1037"/>
      <c r="V1141" s="1037"/>
      <c r="W1141" s="1037"/>
      <c r="X1141" s="1037"/>
      <c r="Y1141" s="1037"/>
      <c r="Z1141" s="1037"/>
      <c r="AA1141" s="1037"/>
      <c r="AB1141" s="1037"/>
      <c r="AC1141" s="1037"/>
      <c r="AD1141" s="1037"/>
      <c r="AE1141" s="1037"/>
      <c r="AF1141" s="1037"/>
      <c r="AG1141" s="1037"/>
      <c r="AH1141" s="1037"/>
      <c r="AI1141" s="1037"/>
      <c r="AJ1141" s="1037"/>
      <c r="AK1141" s="1037"/>
      <c r="AL1141" s="1037"/>
      <c r="AM1141" s="1037"/>
      <c r="AN1141" s="1037"/>
      <c r="AO1141" s="1037"/>
      <c r="AP1141" s="1037"/>
    </row>
    <row r="1142" spans="1:42" s="226" customFormat="1">
      <c r="A1142" s="2060"/>
      <c r="B1142" s="1037"/>
      <c r="C1142" s="1037"/>
      <c r="D1142" s="1037"/>
      <c r="E1142" s="1037"/>
      <c r="F1142" s="1037"/>
      <c r="G1142" s="1037"/>
      <c r="H1142" s="1018"/>
      <c r="I1142" s="1037"/>
      <c r="J1142" s="1037"/>
      <c r="K1142" s="1037"/>
      <c r="L1142" s="1037"/>
      <c r="M1142" s="1037"/>
      <c r="N1142" s="1037"/>
      <c r="O1142" s="1037"/>
      <c r="P1142" s="1037"/>
      <c r="Q1142" s="1037"/>
      <c r="R1142" s="1037"/>
      <c r="S1142" s="1037"/>
      <c r="T1142" s="1037"/>
      <c r="U1142" s="1037"/>
      <c r="V1142" s="1037"/>
      <c r="W1142" s="1037"/>
      <c r="X1142" s="1037"/>
      <c r="Y1142" s="1037"/>
      <c r="Z1142" s="1037"/>
      <c r="AA1142" s="1037"/>
      <c r="AB1142" s="1037"/>
      <c r="AC1142" s="1037"/>
      <c r="AD1142" s="1037"/>
      <c r="AE1142" s="1037"/>
      <c r="AF1142" s="1037"/>
      <c r="AG1142" s="1037"/>
      <c r="AH1142" s="1037"/>
      <c r="AI1142" s="1037"/>
      <c r="AJ1142" s="1037"/>
      <c r="AK1142" s="1037"/>
      <c r="AL1142" s="1037"/>
      <c r="AM1142" s="1037"/>
      <c r="AN1142" s="1037"/>
      <c r="AO1142" s="1037"/>
      <c r="AP1142" s="1037"/>
    </row>
    <row r="1143" spans="1:42" s="226" customFormat="1">
      <c r="A1143" s="2060"/>
      <c r="B1143" s="1037"/>
      <c r="C1143" s="1037"/>
      <c r="D1143" s="1037"/>
      <c r="E1143" s="1037"/>
      <c r="F1143" s="1037"/>
      <c r="G1143" s="1037"/>
      <c r="H1143" s="1018"/>
      <c r="I1143" s="1037"/>
      <c r="J1143" s="1037"/>
      <c r="K1143" s="1037"/>
      <c r="L1143" s="1037"/>
      <c r="M1143" s="1037"/>
      <c r="N1143" s="1037"/>
      <c r="O1143" s="1037"/>
      <c r="P1143" s="1037"/>
      <c r="Q1143" s="1037"/>
      <c r="R1143" s="1037"/>
      <c r="S1143" s="1037"/>
      <c r="T1143" s="1037"/>
      <c r="U1143" s="1037"/>
      <c r="V1143" s="1037"/>
      <c r="W1143" s="1037"/>
      <c r="X1143" s="1037"/>
      <c r="Y1143" s="1037"/>
      <c r="Z1143" s="1037"/>
      <c r="AA1143" s="1037"/>
      <c r="AB1143" s="1037"/>
      <c r="AC1143" s="1037"/>
      <c r="AD1143" s="1037"/>
      <c r="AE1143" s="1037"/>
      <c r="AF1143" s="1037"/>
      <c r="AG1143" s="1037"/>
      <c r="AH1143" s="1037"/>
      <c r="AI1143" s="1037"/>
      <c r="AJ1143" s="1037"/>
      <c r="AK1143" s="1037"/>
      <c r="AL1143" s="1037"/>
      <c r="AM1143" s="1037"/>
      <c r="AN1143" s="1037"/>
      <c r="AO1143" s="1037"/>
      <c r="AP1143" s="1037"/>
    </row>
    <row r="1144" spans="1:42" s="226" customFormat="1">
      <c r="A1144" s="2060"/>
      <c r="B1144" s="1037"/>
      <c r="C1144" s="1037"/>
      <c r="D1144" s="1037"/>
      <c r="E1144" s="1037"/>
      <c r="F1144" s="1037"/>
      <c r="G1144" s="1037"/>
      <c r="H1144" s="1018"/>
      <c r="I1144" s="1037"/>
      <c r="J1144" s="1037"/>
      <c r="K1144" s="1037"/>
      <c r="L1144" s="1037"/>
      <c r="M1144" s="1037"/>
      <c r="N1144" s="1037"/>
      <c r="O1144" s="1037"/>
      <c r="P1144" s="1037"/>
      <c r="Q1144" s="1037"/>
      <c r="R1144" s="1037"/>
      <c r="S1144" s="1037"/>
      <c r="T1144" s="1037"/>
      <c r="U1144" s="1037"/>
      <c r="V1144" s="1037"/>
      <c r="W1144" s="1037"/>
      <c r="X1144" s="1037"/>
      <c r="Y1144" s="1037"/>
      <c r="Z1144" s="1037"/>
      <c r="AA1144" s="1037"/>
      <c r="AB1144" s="1037"/>
      <c r="AC1144" s="1037"/>
      <c r="AD1144" s="1037"/>
      <c r="AE1144" s="1037"/>
      <c r="AF1144" s="1037"/>
      <c r="AG1144" s="1037"/>
      <c r="AH1144" s="1037"/>
      <c r="AI1144" s="1037"/>
      <c r="AJ1144" s="1037"/>
      <c r="AK1144" s="1037"/>
      <c r="AL1144" s="1037"/>
      <c r="AM1144" s="1037"/>
      <c r="AN1144" s="1037"/>
      <c r="AO1144" s="1037"/>
      <c r="AP1144" s="1037"/>
    </row>
    <row r="1145" spans="1:42" s="226" customFormat="1">
      <c r="A1145" s="2060"/>
      <c r="B1145" s="1037"/>
      <c r="C1145" s="1037"/>
      <c r="D1145" s="1037"/>
      <c r="E1145" s="1037"/>
      <c r="F1145" s="1037"/>
      <c r="G1145" s="1037"/>
      <c r="H1145" s="1018"/>
      <c r="I1145" s="1037"/>
      <c r="J1145" s="1037"/>
      <c r="K1145" s="1037"/>
      <c r="L1145" s="1037"/>
      <c r="M1145" s="1037"/>
      <c r="N1145" s="1037"/>
      <c r="O1145" s="1037"/>
      <c r="P1145" s="1037"/>
      <c r="Q1145" s="1037"/>
      <c r="R1145" s="1037"/>
      <c r="S1145" s="1037"/>
      <c r="T1145" s="1037"/>
      <c r="U1145" s="1037"/>
      <c r="V1145" s="1037"/>
      <c r="W1145" s="1037"/>
      <c r="X1145" s="1037"/>
      <c r="Y1145" s="1037"/>
      <c r="Z1145" s="1037"/>
      <c r="AA1145" s="1037"/>
      <c r="AB1145" s="1037"/>
      <c r="AC1145" s="1037"/>
      <c r="AD1145" s="1037"/>
      <c r="AE1145" s="1037"/>
      <c r="AF1145" s="1037"/>
      <c r="AG1145" s="1037"/>
      <c r="AH1145" s="1037"/>
      <c r="AI1145" s="1037"/>
      <c r="AJ1145" s="1037"/>
      <c r="AK1145" s="1037"/>
      <c r="AL1145" s="1037"/>
      <c r="AM1145" s="1037"/>
      <c r="AN1145" s="1037"/>
      <c r="AO1145" s="1037"/>
      <c r="AP1145" s="1037"/>
    </row>
    <row r="1146" spans="1:42" s="226" customFormat="1">
      <c r="A1146" s="2060"/>
      <c r="B1146" s="1037"/>
      <c r="C1146" s="1037"/>
      <c r="D1146" s="1037"/>
      <c r="E1146" s="1037"/>
      <c r="F1146" s="1037"/>
      <c r="G1146" s="1037"/>
      <c r="H1146" s="1018"/>
      <c r="I1146" s="1037"/>
      <c r="J1146" s="1037"/>
      <c r="K1146" s="1037"/>
      <c r="L1146" s="1037"/>
      <c r="M1146" s="1037"/>
      <c r="N1146" s="1037"/>
      <c r="O1146" s="1037"/>
      <c r="P1146" s="1037"/>
      <c r="Q1146" s="1037"/>
      <c r="R1146" s="1037"/>
      <c r="S1146" s="1037"/>
      <c r="T1146" s="1037"/>
      <c r="U1146" s="1037"/>
      <c r="V1146" s="1037"/>
      <c r="W1146" s="1037"/>
      <c r="X1146" s="1037"/>
      <c r="Y1146" s="1037"/>
      <c r="Z1146" s="1037"/>
      <c r="AA1146" s="1037"/>
      <c r="AB1146" s="1037"/>
      <c r="AC1146" s="1037"/>
      <c r="AD1146" s="1037"/>
      <c r="AE1146" s="1037"/>
      <c r="AF1146" s="1037"/>
      <c r="AG1146" s="1037"/>
      <c r="AH1146" s="1037"/>
      <c r="AI1146" s="1037"/>
      <c r="AJ1146" s="1037"/>
      <c r="AK1146" s="1037"/>
      <c r="AL1146" s="1037"/>
      <c r="AM1146" s="1037"/>
      <c r="AN1146" s="1037"/>
      <c r="AO1146" s="1037"/>
      <c r="AP1146" s="1037"/>
    </row>
    <row r="1147" spans="1:42" s="226" customFormat="1">
      <c r="A1147" s="2060"/>
      <c r="B1147" s="1037"/>
      <c r="C1147" s="1037"/>
      <c r="D1147" s="1037"/>
      <c r="E1147" s="1037"/>
      <c r="F1147" s="1037"/>
      <c r="G1147" s="1037"/>
      <c r="H1147" s="1018"/>
      <c r="I1147" s="1037"/>
      <c r="J1147" s="1037"/>
      <c r="K1147" s="1037"/>
      <c r="L1147" s="1037"/>
      <c r="M1147" s="1037"/>
      <c r="N1147" s="1037"/>
      <c r="O1147" s="1037"/>
      <c r="P1147" s="1037"/>
      <c r="Q1147" s="1037"/>
      <c r="R1147" s="1037"/>
      <c r="S1147" s="1037"/>
      <c r="T1147" s="1037"/>
      <c r="U1147" s="1037"/>
      <c r="V1147" s="1037"/>
      <c r="W1147" s="1037"/>
      <c r="X1147" s="1037"/>
      <c r="Y1147" s="1037"/>
      <c r="Z1147" s="1037"/>
      <c r="AA1147" s="1037"/>
      <c r="AB1147" s="1037"/>
      <c r="AC1147" s="1037"/>
      <c r="AD1147" s="1037"/>
      <c r="AE1147" s="1037"/>
      <c r="AF1147" s="1037"/>
      <c r="AG1147" s="1037"/>
      <c r="AH1147" s="1037"/>
      <c r="AI1147" s="1037"/>
      <c r="AJ1147" s="1037"/>
      <c r="AK1147" s="1037"/>
      <c r="AL1147" s="1037"/>
      <c r="AM1147" s="1037"/>
      <c r="AN1147" s="1037"/>
      <c r="AO1147" s="1037"/>
      <c r="AP1147" s="1037"/>
    </row>
    <row r="1148" spans="1:42" s="226" customFormat="1">
      <c r="A1148" s="2060"/>
      <c r="B1148" s="1037"/>
      <c r="C1148" s="1037"/>
      <c r="D1148" s="1037"/>
      <c r="E1148" s="1037"/>
      <c r="F1148" s="1037"/>
      <c r="G1148" s="1037"/>
      <c r="H1148" s="1018"/>
      <c r="I1148" s="1037"/>
      <c r="J1148" s="1037"/>
      <c r="K1148" s="1037"/>
      <c r="L1148" s="1037"/>
      <c r="M1148" s="1037"/>
      <c r="N1148" s="1037"/>
      <c r="O1148" s="1037"/>
      <c r="P1148" s="1037"/>
      <c r="Q1148" s="1037"/>
      <c r="R1148" s="1037"/>
      <c r="S1148" s="1037"/>
      <c r="T1148" s="1037"/>
      <c r="U1148" s="1037"/>
      <c r="V1148" s="1037"/>
      <c r="W1148" s="1037"/>
      <c r="X1148" s="1037"/>
      <c r="Y1148" s="1037"/>
      <c r="Z1148" s="1037"/>
      <c r="AA1148" s="1037"/>
      <c r="AB1148" s="1037"/>
      <c r="AC1148" s="1037"/>
      <c r="AD1148" s="1037"/>
      <c r="AE1148" s="1037"/>
      <c r="AF1148" s="1037"/>
      <c r="AG1148" s="1037"/>
      <c r="AH1148" s="1037"/>
      <c r="AI1148" s="1037"/>
      <c r="AJ1148" s="1037"/>
      <c r="AK1148" s="1037"/>
      <c r="AL1148" s="1037"/>
      <c r="AM1148" s="1037"/>
      <c r="AN1148" s="1037"/>
      <c r="AO1148" s="1037"/>
      <c r="AP1148" s="1037"/>
    </row>
    <row r="1149" spans="1:42" s="226" customFormat="1">
      <c r="A1149" s="2060"/>
      <c r="B1149" s="1037"/>
      <c r="C1149" s="1037"/>
      <c r="D1149" s="1037"/>
      <c r="E1149" s="1037"/>
      <c r="F1149" s="1037"/>
      <c r="G1149" s="1037"/>
      <c r="H1149" s="1018"/>
      <c r="I1149" s="1037"/>
      <c r="J1149" s="1037"/>
      <c r="K1149" s="1037"/>
      <c r="L1149" s="1037"/>
      <c r="M1149" s="1037"/>
      <c r="N1149" s="1037"/>
      <c r="O1149" s="1037"/>
      <c r="P1149" s="1037"/>
      <c r="Q1149" s="1037"/>
      <c r="R1149" s="1037"/>
      <c r="S1149" s="1037"/>
      <c r="T1149" s="1037"/>
      <c r="U1149" s="1037"/>
      <c r="V1149" s="1037"/>
      <c r="W1149" s="1037"/>
      <c r="X1149" s="1037"/>
      <c r="Y1149" s="1037"/>
      <c r="Z1149" s="1037"/>
      <c r="AA1149" s="1037"/>
      <c r="AB1149" s="1037"/>
      <c r="AC1149" s="1037"/>
      <c r="AD1149" s="1037"/>
      <c r="AE1149" s="1037"/>
      <c r="AF1149" s="1037"/>
      <c r="AG1149" s="1037"/>
      <c r="AH1149" s="1037"/>
      <c r="AI1149" s="1037"/>
      <c r="AJ1149" s="1037"/>
      <c r="AK1149" s="1037"/>
      <c r="AL1149" s="1037"/>
      <c r="AM1149" s="1037"/>
      <c r="AN1149" s="1037"/>
      <c r="AO1149" s="1037"/>
      <c r="AP1149" s="1037"/>
    </row>
    <row r="1150" spans="1:42" s="226" customFormat="1">
      <c r="A1150" s="2060"/>
      <c r="B1150" s="1037"/>
      <c r="C1150" s="1037"/>
      <c r="D1150" s="1037"/>
      <c r="E1150" s="1037"/>
      <c r="F1150" s="1037"/>
      <c r="G1150" s="1037"/>
      <c r="H1150" s="1018"/>
      <c r="I1150" s="1037"/>
      <c r="J1150" s="1037"/>
      <c r="K1150" s="1037"/>
      <c r="L1150" s="1037"/>
      <c r="M1150" s="1037"/>
      <c r="N1150" s="1037"/>
      <c r="O1150" s="1037"/>
      <c r="P1150" s="1037"/>
      <c r="Q1150" s="1037"/>
      <c r="R1150" s="1037"/>
      <c r="S1150" s="1037"/>
      <c r="T1150" s="1037"/>
      <c r="U1150" s="1037"/>
      <c r="V1150" s="1037"/>
      <c r="W1150" s="1037"/>
      <c r="X1150" s="1037"/>
      <c r="Y1150" s="1037"/>
      <c r="Z1150" s="1037"/>
      <c r="AA1150" s="1037"/>
      <c r="AB1150" s="1037"/>
      <c r="AC1150" s="1037"/>
      <c r="AD1150" s="1037"/>
      <c r="AE1150" s="1037"/>
      <c r="AF1150" s="1037"/>
      <c r="AG1150" s="1037"/>
      <c r="AH1150" s="1037"/>
      <c r="AI1150" s="1037"/>
      <c r="AJ1150" s="1037"/>
      <c r="AK1150" s="1037"/>
      <c r="AL1150" s="1037"/>
      <c r="AM1150" s="1037"/>
      <c r="AN1150" s="1037"/>
      <c r="AO1150" s="1037"/>
      <c r="AP1150" s="1037"/>
    </row>
    <row r="1151" spans="1:42" s="226" customFormat="1">
      <c r="A1151" s="2060"/>
      <c r="B1151" s="1037"/>
      <c r="C1151" s="1037"/>
      <c r="D1151" s="1037"/>
      <c r="E1151" s="1037"/>
      <c r="F1151" s="1037"/>
      <c r="G1151" s="1037"/>
      <c r="H1151" s="1018"/>
      <c r="I1151" s="1037"/>
      <c r="J1151" s="1037"/>
      <c r="K1151" s="1037"/>
      <c r="L1151" s="1037"/>
      <c r="M1151" s="1037"/>
      <c r="N1151" s="1037"/>
      <c r="O1151" s="1037"/>
      <c r="P1151" s="1037"/>
      <c r="Q1151" s="1037"/>
      <c r="R1151" s="1037"/>
      <c r="S1151" s="1037"/>
      <c r="T1151" s="1037"/>
      <c r="U1151" s="1037"/>
      <c r="V1151" s="1037"/>
      <c r="W1151" s="1037"/>
      <c r="X1151" s="1037"/>
      <c r="Y1151" s="1037"/>
      <c r="Z1151" s="1037"/>
      <c r="AA1151" s="1037"/>
      <c r="AB1151" s="1037"/>
      <c r="AC1151" s="1037"/>
      <c r="AD1151" s="1037"/>
      <c r="AE1151" s="1037"/>
      <c r="AF1151" s="1037"/>
      <c r="AG1151" s="1037"/>
      <c r="AH1151" s="1037"/>
      <c r="AI1151" s="1037"/>
      <c r="AJ1151" s="1037"/>
      <c r="AK1151" s="1037"/>
      <c r="AL1151" s="1037"/>
      <c r="AM1151" s="1037"/>
      <c r="AN1151" s="1037"/>
      <c r="AO1151" s="1037"/>
      <c r="AP1151" s="1037"/>
    </row>
    <row r="1152" spans="1:42" s="226" customFormat="1">
      <c r="A1152" s="2060"/>
      <c r="B1152" s="1037"/>
      <c r="C1152" s="1037"/>
      <c r="D1152" s="1037"/>
      <c r="E1152" s="1037"/>
      <c r="F1152" s="1037"/>
      <c r="G1152" s="1037"/>
      <c r="H1152" s="1018"/>
      <c r="I1152" s="1037"/>
      <c r="J1152" s="1037"/>
      <c r="K1152" s="1037"/>
      <c r="L1152" s="1037"/>
      <c r="M1152" s="1037"/>
      <c r="N1152" s="1037"/>
      <c r="O1152" s="1037"/>
      <c r="P1152" s="1037"/>
      <c r="Q1152" s="1037"/>
      <c r="R1152" s="1037"/>
      <c r="S1152" s="1037"/>
      <c r="T1152" s="1037"/>
      <c r="U1152" s="1037"/>
      <c r="V1152" s="1037"/>
      <c r="W1152" s="1037"/>
      <c r="X1152" s="1037"/>
      <c r="Y1152" s="1037"/>
      <c r="Z1152" s="1037"/>
      <c r="AA1152" s="1037"/>
      <c r="AB1152" s="1037"/>
      <c r="AC1152" s="1037"/>
      <c r="AD1152" s="1037"/>
      <c r="AE1152" s="1037"/>
      <c r="AF1152" s="1037"/>
      <c r="AG1152" s="1037"/>
      <c r="AH1152" s="1037"/>
      <c r="AI1152" s="1037"/>
      <c r="AJ1152" s="1037"/>
      <c r="AK1152" s="1037"/>
      <c r="AL1152" s="1037"/>
      <c r="AM1152" s="1037"/>
      <c r="AN1152" s="1037"/>
      <c r="AO1152" s="1037"/>
      <c r="AP1152" s="1037"/>
    </row>
    <row r="1153" spans="1:42" s="226" customFormat="1">
      <c r="A1153" s="2060"/>
      <c r="B1153" s="1037"/>
      <c r="C1153" s="1037"/>
      <c r="D1153" s="1037"/>
      <c r="E1153" s="1037"/>
      <c r="F1153" s="1037"/>
      <c r="G1153" s="1037"/>
      <c r="H1153" s="1018"/>
      <c r="I1153" s="1037"/>
      <c r="J1153" s="1037"/>
      <c r="K1153" s="1037"/>
      <c r="L1153" s="1037"/>
      <c r="M1153" s="1037"/>
      <c r="N1153" s="1037"/>
      <c r="O1153" s="1037"/>
      <c r="P1153" s="1037"/>
      <c r="Q1153" s="1037"/>
      <c r="R1153" s="1037"/>
      <c r="S1153" s="1037"/>
      <c r="T1153" s="1037"/>
      <c r="U1153" s="1037"/>
      <c r="V1153" s="1037"/>
      <c r="W1153" s="1037"/>
      <c r="X1153" s="1037"/>
      <c r="Y1153" s="1037"/>
      <c r="Z1153" s="1037"/>
      <c r="AA1153" s="1037"/>
      <c r="AB1153" s="1037"/>
      <c r="AC1153" s="1037"/>
      <c r="AD1153" s="1037"/>
      <c r="AE1153" s="1037"/>
      <c r="AF1153" s="1037"/>
      <c r="AG1153" s="1037"/>
      <c r="AH1153" s="1037"/>
      <c r="AI1153" s="1037"/>
      <c r="AJ1153" s="1037"/>
      <c r="AK1153" s="1037"/>
      <c r="AL1153" s="1037"/>
      <c r="AM1153" s="1037"/>
      <c r="AN1153" s="1037"/>
      <c r="AO1153" s="1037"/>
      <c r="AP1153" s="1037"/>
    </row>
    <row r="1154" spans="1:42" s="226" customFormat="1">
      <c r="A1154" s="2060"/>
      <c r="B1154" s="1037"/>
      <c r="C1154" s="1037"/>
      <c r="D1154" s="1037"/>
      <c r="E1154" s="1037"/>
      <c r="F1154" s="1037"/>
      <c r="G1154" s="1037"/>
      <c r="H1154" s="1018"/>
      <c r="I1154" s="1037"/>
      <c r="J1154" s="1037"/>
      <c r="K1154" s="1037"/>
      <c r="L1154" s="1037"/>
      <c r="M1154" s="1037"/>
      <c r="N1154" s="1037"/>
      <c r="O1154" s="1037"/>
      <c r="P1154" s="1037"/>
      <c r="Q1154" s="1037"/>
      <c r="R1154" s="1037"/>
      <c r="S1154" s="1037"/>
      <c r="T1154" s="1037"/>
      <c r="U1154" s="1037"/>
      <c r="V1154" s="1037"/>
      <c r="W1154" s="1037"/>
      <c r="X1154" s="1037"/>
      <c r="Y1154" s="1037"/>
      <c r="Z1154" s="1037"/>
      <c r="AA1154" s="1037"/>
      <c r="AB1154" s="1037"/>
      <c r="AC1154" s="1037"/>
      <c r="AD1154" s="1037"/>
      <c r="AE1154" s="1037"/>
      <c r="AF1154" s="1037"/>
      <c r="AG1154" s="1037"/>
      <c r="AH1154" s="1037"/>
      <c r="AI1154" s="1037"/>
      <c r="AJ1154" s="1037"/>
      <c r="AK1154" s="1037"/>
      <c r="AL1154" s="1037"/>
      <c r="AM1154" s="1037"/>
      <c r="AN1154" s="1037"/>
      <c r="AO1154" s="1037"/>
      <c r="AP1154" s="1037"/>
    </row>
    <row r="1155" spans="1:42" s="226" customFormat="1">
      <c r="A1155" s="2060"/>
      <c r="B1155" s="1037"/>
      <c r="C1155" s="1037"/>
      <c r="D1155" s="1037"/>
      <c r="E1155" s="1037"/>
      <c r="F1155" s="1037"/>
      <c r="G1155" s="1037"/>
      <c r="H1155" s="1018"/>
      <c r="I1155" s="1037"/>
      <c r="J1155" s="1037"/>
      <c r="K1155" s="1037"/>
      <c r="L1155" s="1037"/>
      <c r="M1155" s="1037"/>
      <c r="N1155" s="1037"/>
      <c r="O1155" s="1037"/>
      <c r="P1155" s="1037"/>
      <c r="Q1155" s="1037"/>
      <c r="R1155" s="1037"/>
      <c r="S1155" s="1037"/>
      <c r="T1155" s="1037"/>
      <c r="U1155" s="1037"/>
      <c r="V1155" s="1037"/>
      <c r="W1155" s="1037"/>
      <c r="X1155" s="1037"/>
      <c r="Y1155" s="1037"/>
      <c r="Z1155" s="1037"/>
      <c r="AA1155" s="1037"/>
      <c r="AB1155" s="1037"/>
      <c r="AC1155" s="1037"/>
      <c r="AD1155" s="1037"/>
      <c r="AE1155" s="1037"/>
      <c r="AF1155" s="1037"/>
      <c r="AG1155" s="1037"/>
      <c r="AH1155" s="1037"/>
      <c r="AI1155" s="1037"/>
      <c r="AJ1155" s="1037"/>
      <c r="AK1155" s="1037"/>
      <c r="AL1155" s="1037"/>
      <c r="AM1155" s="1037"/>
      <c r="AN1155" s="1037"/>
      <c r="AO1155" s="1037"/>
      <c r="AP1155" s="1037"/>
    </row>
    <row r="1156" spans="1:42" s="226" customFormat="1">
      <c r="A1156" s="2060"/>
      <c r="B1156" s="1037"/>
      <c r="C1156" s="1037"/>
      <c r="D1156" s="1037"/>
      <c r="E1156" s="1037"/>
      <c r="F1156" s="1037"/>
      <c r="G1156" s="1037"/>
      <c r="H1156" s="1018"/>
      <c r="I1156" s="1037"/>
      <c r="J1156" s="1037"/>
      <c r="K1156" s="1037"/>
      <c r="L1156" s="1037"/>
      <c r="M1156" s="1037"/>
      <c r="N1156" s="1037"/>
      <c r="O1156" s="1037"/>
      <c r="P1156" s="1037"/>
      <c r="Q1156" s="1037"/>
      <c r="R1156" s="1037"/>
      <c r="S1156" s="1037"/>
      <c r="T1156" s="1037"/>
      <c r="U1156" s="1037"/>
      <c r="V1156" s="1037"/>
      <c r="W1156" s="1037"/>
      <c r="X1156" s="1037"/>
      <c r="Y1156" s="1037"/>
      <c r="Z1156" s="1037"/>
      <c r="AA1156" s="1037"/>
      <c r="AB1156" s="1037"/>
      <c r="AC1156" s="1037"/>
      <c r="AD1156" s="1037"/>
      <c r="AE1156" s="1037"/>
      <c r="AF1156" s="1037"/>
      <c r="AG1156" s="1037"/>
      <c r="AH1156" s="1037"/>
      <c r="AI1156" s="1037"/>
      <c r="AJ1156" s="1037"/>
      <c r="AK1156" s="1037"/>
      <c r="AL1156" s="1037"/>
      <c r="AM1156" s="1037"/>
      <c r="AN1156" s="1037"/>
      <c r="AO1156" s="1037"/>
      <c r="AP1156" s="1037"/>
    </row>
    <row r="1157" spans="1:42" s="226" customFormat="1">
      <c r="A1157" s="2060"/>
      <c r="B1157" s="1037"/>
      <c r="C1157" s="1037"/>
      <c r="D1157" s="1037"/>
      <c r="E1157" s="1037"/>
      <c r="F1157" s="1037"/>
      <c r="G1157" s="1037"/>
      <c r="H1157" s="1018"/>
      <c r="I1157" s="1037"/>
      <c r="J1157" s="1037"/>
      <c r="K1157" s="1037"/>
      <c r="L1157" s="1037"/>
      <c r="M1157" s="1037"/>
      <c r="N1157" s="1037"/>
      <c r="O1157" s="1037"/>
      <c r="P1157" s="1037"/>
      <c r="Q1157" s="1037"/>
      <c r="R1157" s="1037"/>
      <c r="S1157" s="1037"/>
      <c r="T1157" s="1037"/>
      <c r="U1157" s="1037"/>
      <c r="V1157" s="1037"/>
      <c r="W1157" s="1037"/>
      <c r="X1157" s="1037"/>
      <c r="Y1157" s="1037"/>
      <c r="Z1157" s="1037"/>
      <c r="AA1157" s="1037"/>
      <c r="AB1157" s="1037"/>
      <c r="AC1157" s="1037"/>
      <c r="AD1157" s="1037"/>
      <c r="AE1157" s="1037"/>
      <c r="AF1157" s="1037"/>
      <c r="AG1157" s="1037"/>
      <c r="AH1157" s="1037"/>
      <c r="AI1157" s="1037"/>
      <c r="AJ1157" s="1037"/>
      <c r="AK1157" s="1037"/>
      <c r="AL1157" s="1037"/>
      <c r="AM1157" s="1037"/>
      <c r="AN1157" s="1037"/>
      <c r="AO1157" s="1037"/>
      <c r="AP1157" s="1037"/>
    </row>
    <row r="1158" spans="1:42" s="226" customFormat="1">
      <c r="A1158" s="2060"/>
      <c r="B1158" s="1037"/>
      <c r="C1158" s="1037"/>
      <c r="D1158" s="1037"/>
      <c r="E1158" s="1037"/>
      <c r="F1158" s="1037"/>
      <c r="G1158" s="1037"/>
      <c r="H1158" s="1018"/>
      <c r="I1158" s="1037"/>
      <c r="J1158" s="1037"/>
      <c r="K1158" s="1037"/>
      <c r="L1158" s="1037"/>
      <c r="M1158" s="1037"/>
      <c r="N1158" s="1037"/>
      <c r="O1158" s="1037"/>
      <c r="P1158" s="1037"/>
      <c r="Q1158" s="1037"/>
      <c r="R1158" s="1037"/>
      <c r="S1158" s="1037"/>
      <c r="T1158" s="1037"/>
      <c r="U1158" s="1037"/>
      <c r="V1158" s="1037"/>
      <c r="W1158" s="1037"/>
      <c r="X1158" s="1037"/>
      <c r="Y1158" s="1037"/>
      <c r="Z1158" s="1037"/>
      <c r="AA1158" s="1037"/>
      <c r="AB1158" s="1037"/>
      <c r="AC1158" s="1037"/>
      <c r="AD1158" s="1037"/>
      <c r="AE1158" s="1037"/>
      <c r="AF1158" s="1037"/>
      <c r="AG1158" s="1037"/>
      <c r="AH1158" s="1037"/>
      <c r="AI1158" s="1037"/>
      <c r="AJ1158" s="1037"/>
      <c r="AK1158" s="1037"/>
      <c r="AL1158" s="1037"/>
      <c r="AM1158" s="1037"/>
      <c r="AN1158" s="1037"/>
      <c r="AO1158" s="1037"/>
      <c r="AP1158" s="1037"/>
    </row>
    <row r="1159" spans="1:42" s="226" customFormat="1">
      <c r="A1159" s="2060"/>
      <c r="B1159" s="1037"/>
      <c r="C1159" s="1037"/>
      <c r="D1159" s="1037"/>
      <c r="E1159" s="1037"/>
      <c r="F1159" s="1037"/>
      <c r="G1159" s="1037"/>
      <c r="H1159" s="1018"/>
      <c r="I1159" s="1037"/>
      <c r="J1159" s="1037"/>
      <c r="K1159" s="1037"/>
      <c r="L1159" s="1037"/>
      <c r="M1159" s="1037"/>
      <c r="N1159" s="1037"/>
      <c r="O1159" s="1037"/>
      <c r="P1159" s="1037"/>
      <c r="Q1159" s="1037"/>
      <c r="R1159" s="1037"/>
      <c r="S1159" s="1037"/>
      <c r="T1159" s="1037"/>
      <c r="U1159" s="1037"/>
      <c r="V1159" s="1037"/>
      <c r="W1159" s="1037"/>
      <c r="X1159" s="1037"/>
      <c r="Y1159" s="1037"/>
      <c r="Z1159" s="1037"/>
      <c r="AA1159" s="1037"/>
      <c r="AB1159" s="1037"/>
      <c r="AC1159" s="1037"/>
      <c r="AD1159" s="1037"/>
      <c r="AE1159" s="1037"/>
      <c r="AF1159" s="1037"/>
      <c r="AG1159" s="1037"/>
      <c r="AH1159" s="1037"/>
      <c r="AI1159" s="1037"/>
      <c r="AJ1159" s="1037"/>
      <c r="AK1159" s="1037"/>
      <c r="AL1159" s="1037"/>
      <c r="AM1159" s="1037"/>
      <c r="AN1159" s="1037"/>
      <c r="AO1159" s="1037"/>
      <c r="AP1159" s="1037"/>
    </row>
    <row r="1160" spans="1:42" s="226" customFormat="1">
      <c r="A1160" s="2060"/>
      <c r="B1160" s="1037"/>
      <c r="C1160" s="1037"/>
      <c r="D1160" s="1037"/>
      <c r="E1160" s="1037"/>
      <c r="F1160" s="1037"/>
      <c r="G1160" s="1037"/>
      <c r="H1160" s="1018"/>
      <c r="I1160" s="1037"/>
      <c r="J1160" s="1037"/>
      <c r="K1160" s="1037"/>
      <c r="L1160" s="1037"/>
      <c r="M1160" s="1037"/>
      <c r="N1160" s="1037"/>
      <c r="O1160" s="1037"/>
      <c r="P1160" s="1037"/>
      <c r="Q1160" s="1037"/>
      <c r="R1160" s="1037"/>
      <c r="S1160" s="1037"/>
      <c r="T1160" s="1037"/>
      <c r="U1160" s="1037"/>
      <c r="V1160" s="1037"/>
      <c r="W1160" s="1037"/>
      <c r="X1160" s="1037"/>
      <c r="Y1160" s="1037"/>
      <c r="Z1160" s="1037"/>
      <c r="AA1160" s="1037"/>
      <c r="AB1160" s="1037"/>
      <c r="AC1160" s="1037"/>
      <c r="AD1160" s="1037"/>
      <c r="AE1160" s="1037"/>
      <c r="AF1160" s="1037"/>
      <c r="AG1160" s="1037"/>
      <c r="AH1160" s="1037"/>
      <c r="AI1160" s="1037"/>
      <c r="AJ1160" s="1037"/>
      <c r="AK1160" s="1037"/>
      <c r="AL1160" s="1037"/>
      <c r="AM1160" s="1037"/>
      <c r="AN1160" s="1037"/>
      <c r="AO1160" s="1037"/>
      <c r="AP1160" s="1037"/>
    </row>
    <row r="1161" spans="1:42" s="226" customFormat="1">
      <c r="A1161" s="2060"/>
      <c r="B1161" s="1037"/>
      <c r="C1161" s="1037"/>
      <c r="D1161" s="1037"/>
      <c r="E1161" s="1037"/>
      <c r="F1161" s="1037"/>
      <c r="G1161" s="1037"/>
      <c r="H1161" s="1018"/>
      <c r="I1161" s="1037"/>
      <c r="J1161" s="1037"/>
      <c r="K1161" s="1037"/>
      <c r="L1161" s="1037"/>
      <c r="M1161" s="1037"/>
      <c r="N1161" s="1037"/>
      <c r="O1161" s="1037"/>
      <c r="P1161" s="1037"/>
      <c r="Q1161" s="1037"/>
      <c r="R1161" s="1037"/>
      <c r="S1161" s="1037"/>
      <c r="T1161" s="1037"/>
      <c r="U1161" s="1037"/>
      <c r="V1161" s="1037"/>
      <c r="W1161" s="1037"/>
      <c r="X1161" s="1037"/>
      <c r="Y1161" s="1037"/>
      <c r="Z1161" s="1037"/>
      <c r="AA1161" s="1037"/>
      <c r="AB1161" s="1037"/>
      <c r="AC1161" s="1037"/>
      <c r="AD1161" s="1037"/>
      <c r="AE1161" s="1037"/>
      <c r="AF1161" s="1037"/>
      <c r="AG1161" s="1037"/>
      <c r="AH1161" s="1037"/>
      <c r="AI1161" s="1037"/>
      <c r="AJ1161" s="1037"/>
      <c r="AK1161" s="1037"/>
      <c r="AL1161" s="1037"/>
      <c r="AM1161" s="1037"/>
      <c r="AN1161" s="1037"/>
      <c r="AO1161" s="1037"/>
      <c r="AP1161" s="1037"/>
    </row>
    <row r="1162" spans="1:42" s="226" customFormat="1">
      <c r="A1162" s="2060"/>
      <c r="B1162" s="1037"/>
      <c r="C1162" s="1037"/>
      <c r="D1162" s="1037"/>
      <c r="E1162" s="1037"/>
      <c r="F1162" s="1037"/>
      <c r="G1162" s="1037"/>
      <c r="H1162" s="1018"/>
      <c r="I1162" s="1037"/>
      <c r="J1162" s="1037"/>
      <c r="K1162" s="1037"/>
      <c r="L1162" s="1037"/>
      <c r="M1162" s="1037"/>
      <c r="N1162" s="1037"/>
      <c r="O1162" s="1037"/>
      <c r="P1162" s="1037"/>
      <c r="Q1162" s="1037"/>
      <c r="R1162" s="1037"/>
      <c r="S1162" s="1037"/>
      <c r="T1162" s="1037"/>
      <c r="U1162" s="1037"/>
      <c r="V1162" s="1037"/>
      <c r="W1162" s="1037"/>
      <c r="X1162" s="1037"/>
      <c r="Y1162" s="1037"/>
      <c r="Z1162" s="1037"/>
      <c r="AA1162" s="1037"/>
      <c r="AB1162" s="1037"/>
      <c r="AC1162" s="1037"/>
      <c r="AD1162" s="1037"/>
      <c r="AE1162" s="1037"/>
      <c r="AF1162" s="1037"/>
      <c r="AG1162" s="1037"/>
      <c r="AH1162" s="1037"/>
      <c r="AI1162" s="1037"/>
      <c r="AJ1162" s="1037"/>
      <c r="AK1162" s="1037"/>
      <c r="AL1162" s="1037"/>
      <c r="AM1162" s="1037"/>
      <c r="AN1162" s="1037"/>
      <c r="AO1162" s="1037"/>
      <c r="AP1162" s="1037"/>
    </row>
    <row r="1163" spans="1:42" s="226" customFormat="1">
      <c r="A1163" s="2060"/>
      <c r="B1163" s="1037"/>
      <c r="C1163" s="1037"/>
      <c r="D1163" s="1037"/>
      <c r="E1163" s="1037"/>
      <c r="F1163" s="1037"/>
      <c r="G1163" s="1037"/>
      <c r="H1163" s="1018"/>
      <c r="I1163" s="1037"/>
      <c r="J1163" s="1037"/>
      <c r="K1163" s="1037"/>
      <c r="L1163" s="1037"/>
      <c r="M1163" s="1037"/>
      <c r="N1163" s="1037"/>
      <c r="O1163" s="1037"/>
      <c r="P1163" s="1037"/>
      <c r="Q1163" s="1037"/>
      <c r="R1163" s="1037"/>
      <c r="S1163" s="1037"/>
      <c r="T1163" s="1037"/>
      <c r="U1163" s="1037"/>
      <c r="V1163" s="1037"/>
      <c r="W1163" s="1037"/>
      <c r="X1163" s="1037"/>
      <c r="Y1163" s="1037"/>
      <c r="Z1163" s="1037"/>
      <c r="AA1163" s="1037"/>
      <c r="AB1163" s="1037"/>
      <c r="AC1163" s="1037"/>
      <c r="AD1163" s="1037"/>
      <c r="AE1163" s="1037"/>
      <c r="AF1163" s="1037"/>
      <c r="AG1163" s="1037"/>
      <c r="AH1163" s="1037"/>
      <c r="AI1163" s="1037"/>
      <c r="AJ1163" s="1037"/>
      <c r="AK1163" s="1037"/>
      <c r="AL1163" s="1037"/>
      <c r="AM1163" s="1037"/>
      <c r="AN1163" s="1037"/>
      <c r="AO1163" s="1037"/>
      <c r="AP1163" s="1037"/>
    </row>
    <row r="1164" spans="1:42" s="226" customFormat="1">
      <c r="A1164" s="2060"/>
      <c r="B1164" s="1037"/>
      <c r="C1164" s="1037"/>
      <c r="D1164" s="1037"/>
      <c r="E1164" s="1037"/>
      <c r="F1164" s="1037"/>
      <c r="G1164" s="1037"/>
      <c r="H1164" s="1018"/>
      <c r="I1164" s="1037"/>
      <c r="J1164" s="1037"/>
      <c r="K1164" s="1037"/>
      <c r="L1164" s="1037"/>
      <c r="M1164" s="1037"/>
      <c r="N1164" s="1037"/>
      <c r="O1164" s="1037"/>
      <c r="P1164" s="1037"/>
      <c r="Q1164" s="1037"/>
      <c r="R1164" s="1037"/>
      <c r="S1164" s="1037"/>
      <c r="T1164" s="1037"/>
      <c r="U1164" s="1037"/>
      <c r="V1164" s="1037"/>
      <c r="W1164" s="1037"/>
      <c r="X1164" s="1037"/>
      <c r="Y1164" s="1037"/>
      <c r="Z1164" s="1037"/>
      <c r="AA1164" s="1037"/>
      <c r="AB1164" s="1037"/>
      <c r="AC1164" s="1037"/>
      <c r="AD1164" s="1037"/>
      <c r="AE1164" s="1037"/>
      <c r="AF1164" s="1037"/>
      <c r="AG1164" s="1037"/>
      <c r="AH1164" s="1037"/>
      <c r="AI1164" s="1037"/>
      <c r="AJ1164" s="1037"/>
      <c r="AK1164" s="1037"/>
      <c r="AL1164" s="1037"/>
      <c r="AM1164" s="1037"/>
      <c r="AN1164" s="1037"/>
      <c r="AO1164" s="1037"/>
      <c r="AP1164" s="1037"/>
    </row>
    <row r="1165" spans="1:42" s="226" customFormat="1">
      <c r="A1165" s="2060"/>
      <c r="B1165" s="1037"/>
      <c r="C1165" s="1037"/>
      <c r="D1165" s="1037"/>
      <c r="E1165" s="1037"/>
      <c r="F1165" s="1037"/>
      <c r="G1165" s="1037"/>
      <c r="H1165" s="1018"/>
      <c r="I1165" s="1037"/>
      <c r="J1165" s="1037"/>
      <c r="K1165" s="1037"/>
      <c r="L1165" s="1037"/>
      <c r="M1165" s="1037"/>
      <c r="N1165" s="1037"/>
      <c r="O1165" s="1037"/>
      <c r="P1165" s="1037"/>
      <c r="Q1165" s="1037"/>
      <c r="R1165" s="1037"/>
      <c r="S1165" s="1037"/>
      <c r="T1165" s="1037"/>
      <c r="U1165" s="1037"/>
      <c r="V1165" s="1037"/>
      <c r="W1165" s="1037"/>
      <c r="X1165" s="1037"/>
      <c r="Y1165" s="1037"/>
      <c r="Z1165" s="1037"/>
      <c r="AA1165" s="1037"/>
      <c r="AB1165" s="1037"/>
      <c r="AC1165" s="1037"/>
      <c r="AD1165" s="1037"/>
      <c r="AE1165" s="1037"/>
      <c r="AF1165" s="1037"/>
      <c r="AG1165" s="1037"/>
      <c r="AH1165" s="1037"/>
      <c r="AI1165" s="1037"/>
      <c r="AJ1165" s="1037"/>
      <c r="AK1165" s="1037"/>
      <c r="AL1165" s="1037"/>
      <c r="AM1165" s="1037"/>
      <c r="AN1165" s="1037"/>
      <c r="AO1165" s="1037"/>
      <c r="AP1165" s="1037"/>
    </row>
    <row r="1166" spans="1:42" s="226" customFormat="1">
      <c r="A1166" s="2060"/>
      <c r="B1166" s="1037"/>
      <c r="C1166" s="1037"/>
      <c r="D1166" s="1037"/>
      <c r="E1166" s="1037"/>
      <c r="F1166" s="1037"/>
      <c r="G1166" s="1037"/>
      <c r="H1166" s="1018"/>
      <c r="I1166" s="1037"/>
      <c r="J1166" s="1037"/>
      <c r="K1166" s="1037"/>
      <c r="L1166" s="1037"/>
      <c r="M1166" s="1037"/>
      <c r="N1166" s="1037"/>
      <c r="O1166" s="1037"/>
      <c r="P1166" s="1037"/>
      <c r="Q1166" s="1037"/>
      <c r="R1166" s="1037"/>
      <c r="S1166" s="1037"/>
      <c r="T1166" s="1037"/>
      <c r="U1166" s="1037"/>
      <c r="V1166" s="1037"/>
      <c r="W1166" s="1037"/>
      <c r="X1166" s="1037"/>
      <c r="Y1166" s="1037"/>
      <c r="Z1166" s="1037"/>
      <c r="AA1166" s="1037"/>
      <c r="AB1166" s="1037"/>
      <c r="AC1166" s="1037"/>
      <c r="AD1166" s="1037"/>
      <c r="AE1166" s="1037"/>
      <c r="AF1166" s="1037"/>
      <c r="AG1166" s="1037"/>
      <c r="AH1166" s="1037"/>
      <c r="AI1166" s="1037"/>
      <c r="AJ1166" s="1037"/>
      <c r="AK1166" s="1037"/>
      <c r="AL1166" s="1037"/>
      <c r="AM1166" s="1037"/>
      <c r="AN1166" s="1037"/>
      <c r="AO1166" s="1037"/>
      <c r="AP1166" s="1037"/>
    </row>
    <row r="1167" spans="1:42" s="226" customFormat="1">
      <c r="A1167" s="2060"/>
      <c r="B1167" s="1037"/>
      <c r="C1167" s="1037"/>
      <c r="D1167" s="1037"/>
      <c r="E1167" s="1037"/>
      <c r="F1167" s="1037"/>
      <c r="G1167" s="1037"/>
      <c r="H1167" s="1018"/>
      <c r="I1167" s="1037"/>
      <c r="J1167" s="1037"/>
      <c r="K1167" s="1037"/>
      <c r="L1167" s="1037"/>
      <c r="M1167" s="1037"/>
      <c r="N1167" s="1037"/>
      <c r="O1167" s="1037"/>
      <c r="P1167" s="1037"/>
      <c r="Q1167" s="1037"/>
      <c r="R1167" s="1037"/>
      <c r="S1167" s="1037"/>
      <c r="T1167" s="1037"/>
      <c r="U1167" s="1037"/>
      <c r="V1167" s="1037"/>
      <c r="W1167" s="1037"/>
      <c r="X1167" s="1037"/>
      <c r="Y1167" s="1037"/>
      <c r="Z1167" s="1037"/>
      <c r="AA1167" s="1037"/>
      <c r="AB1167" s="1037"/>
      <c r="AC1167" s="1037"/>
      <c r="AD1167" s="1037"/>
      <c r="AE1167" s="1037"/>
      <c r="AF1167" s="1037"/>
      <c r="AG1167" s="1037"/>
      <c r="AH1167" s="1037"/>
      <c r="AI1167" s="1037"/>
      <c r="AJ1167" s="1037"/>
      <c r="AK1167" s="1037"/>
      <c r="AL1167" s="1037"/>
      <c r="AM1167" s="1037"/>
      <c r="AN1167" s="1037"/>
      <c r="AO1167" s="1037"/>
      <c r="AP1167" s="1037"/>
    </row>
    <row r="1168" spans="1:42" s="226" customFormat="1">
      <c r="A1168" s="2060"/>
      <c r="B1168" s="1037"/>
      <c r="C1168" s="1037"/>
      <c r="D1168" s="1037"/>
      <c r="E1168" s="1037"/>
      <c r="F1168" s="1037"/>
      <c r="G1168" s="1037"/>
      <c r="H1168" s="1018"/>
      <c r="I1168" s="1037"/>
      <c r="J1168" s="1037"/>
      <c r="K1168" s="1037"/>
      <c r="L1168" s="1037"/>
      <c r="M1168" s="1037"/>
      <c r="N1168" s="1037"/>
      <c r="O1168" s="1037"/>
      <c r="P1168" s="1037"/>
      <c r="Q1168" s="1037"/>
      <c r="R1168" s="1037"/>
      <c r="S1168" s="1037"/>
      <c r="T1168" s="1037"/>
      <c r="U1168" s="1037"/>
      <c r="V1168" s="1037"/>
      <c r="W1168" s="1037"/>
      <c r="X1168" s="1037"/>
      <c r="Y1168" s="1037"/>
      <c r="Z1168" s="1037"/>
      <c r="AA1168" s="1037"/>
      <c r="AB1168" s="1037"/>
      <c r="AC1168" s="1037"/>
      <c r="AD1168" s="1037"/>
      <c r="AE1168" s="1037"/>
      <c r="AF1168" s="1037"/>
      <c r="AG1168" s="1037"/>
      <c r="AH1168" s="1037"/>
      <c r="AI1168" s="1037"/>
      <c r="AJ1168" s="1037"/>
      <c r="AK1168" s="1037"/>
      <c r="AL1168" s="1037"/>
      <c r="AM1168" s="1037"/>
      <c r="AN1168" s="1037"/>
      <c r="AO1168" s="1037"/>
      <c r="AP1168" s="1037"/>
    </row>
    <row r="1169" spans="1:42" s="226" customFormat="1">
      <c r="A1169" s="2060"/>
      <c r="B1169" s="1037"/>
      <c r="C1169" s="1037"/>
      <c r="D1169" s="1037"/>
      <c r="E1169" s="1037"/>
      <c r="F1169" s="1037"/>
      <c r="G1169" s="1037"/>
      <c r="H1169" s="1018"/>
      <c r="I1169" s="1037"/>
      <c r="J1169" s="1037"/>
      <c r="K1169" s="1037"/>
      <c r="L1169" s="1037"/>
      <c r="M1169" s="1037"/>
      <c r="N1169" s="1037"/>
      <c r="O1169" s="1037"/>
      <c r="P1169" s="1037"/>
      <c r="Q1169" s="1037"/>
      <c r="R1169" s="1037"/>
      <c r="S1169" s="1037"/>
      <c r="T1169" s="1037"/>
      <c r="U1169" s="1037"/>
      <c r="V1169" s="1037"/>
      <c r="W1169" s="1037"/>
      <c r="X1169" s="1037"/>
      <c r="Y1169" s="1037"/>
      <c r="Z1169" s="1037"/>
      <c r="AA1169" s="1037"/>
      <c r="AB1169" s="1037"/>
      <c r="AC1169" s="1037"/>
      <c r="AD1169" s="1037"/>
      <c r="AE1169" s="1037"/>
      <c r="AF1169" s="1037"/>
      <c r="AG1169" s="1037"/>
      <c r="AH1169" s="1037"/>
      <c r="AI1169" s="1037"/>
      <c r="AJ1169" s="1037"/>
      <c r="AK1169" s="1037"/>
      <c r="AL1169" s="1037"/>
      <c r="AM1169" s="1037"/>
      <c r="AN1169" s="1037"/>
      <c r="AO1169" s="1037"/>
      <c r="AP1169" s="1037"/>
    </row>
    <row r="1170" spans="1:42" s="226" customFormat="1">
      <c r="A1170" s="2060"/>
      <c r="B1170" s="1037"/>
      <c r="C1170" s="1037"/>
      <c r="D1170" s="1037"/>
      <c r="E1170" s="1037"/>
      <c r="F1170" s="1037"/>
      <c r="G1170" s="1037"/>
      <c r="H1170" s="1018"/>
      <c r="I1170" s="1037"/>
      <c r="J1170" s="1037"/>
      <c r="K1170" s="1037"/>
      <c r="L1170" s="1037"/>
      <c r="M1170" s="1037"/>
      <c r="N1170" s="1037"/>
      <c r="O1170" s="1037"/>
      <c r="P1170" s="1037"/>
      <c r="Q1170" s="1037"/>
      <c r="R1170" s="1037"/>
      <c r="S1170" s="1037"/>
      <c r="T1170" s="1037"/>
      <c r="U1170" s="1037"/>
      <c r="V1170" s="1037"/>
      <c r="W1170" s="1037"/>
      <c r="X1170" s="1037"/>
      <c r="Y1170" s="1037"/>
      <c r="Z1170" s="1037"/>
      <c r="AA1170" s="1037"/>
      <c r="AB1170" s="1037"/>
      <c r="AC1170" s="1037"/>
      <c r="AD1170" s="1037"/>
      <c r="AE1170" s="1037"/>
      <c r="AF1170" s="1037"/>
      <c r="AG1170" s="1037"/>
      <c r="AH1170" s="1037"/>
      <c r="AI1170" s="1037"/>
      <c r="AJ1170" s="1037"/>
      <c r="AK1170" s="1037"/>
      <c r="AL1170" s="1037"/>
      <c r="AM1170" s="1037"/>
      <c r="AN1170" s="1037"/>
      <c r="AO1170" s="1037"/>
      <c r="AP1170" s="1037"/>
    </row>
    <row r="1171" spans="1:42" s="226" customFormat="1">
      <c r="A1171" s="2060"/>
      <c r="B1171" s="1037"/>
      <c r="C1171" s="1037"/>
      <c r="D1171" s="1037"/>
      <c r="E1171" s="1037"/>
      <c r="F1171" s="1037"/>
      <c r="G1171" s="1037"/>
      <c r="H1171" s="1018"/>
      <c r="I1171" s="1037"/>
      <c r="J1171" s="1037"/>
      <c r="K1171" s="1037"/>
      <c r="L1171" s="1037"/>
      <c r="M1171" s="1037"/>
      <c r="N1171" s="1037"/>
      <c r="O1171" s="1037"/>
      <c r="P1171" s="1037"/>
      <c r="Q1171" s="1037"/>
      <c r="R1171" s="1037"/>
      <c r="S1171" s="1037"/>
      <c r="T1171" s="1037"/>
      <c r="U1171" s="1037"/>
      <c r="V1171" s="1037"/>
      <c r="W1171" s="1037"/>
      <c r="X1171" s="1037"/>
      <c r="Y1171" s="1037"/>
      <c r="Z1171" s="1037"/>
      <c r="AA1171" s="1037"/>
      <c r="AB1171" s="1037"/>
      <c r="AC1171" s="1037"/>
      <c r="AD1171" s="1037"/>
      <c r="AE1171" s="1037"/>
      <c r="AF1171" s="1037"/>
      <c r="AG1171" s="1037"/>
      <c r="AH1171" s="1037"/>
      <c r="AI1171" s="1037"/>
      <c r="AJ1171" s="1037"/>
      <c r="AK1171" s="1037"/>
      <c r="AL1171" s="1037"/>
      <c r="AM1171" s="1037"/>
      <c r="AN1171" s="1037"/>
      <c r="AO1171" s="1037"/>
      <c r="AP1171" s="1037"/>
    </row>
    <row r="1172" spans="1:42" s="226" customFormat="1">
      <c r="A1172" s="2060"/>
      <c r="B1172" s="1037"/>
      <c r="C1172" s="1037"/>
      <c r="D1172" s="1037"/>
      <c r="E1172" s="1037"/>
      <c r="F1172" s="1037"/>
      <c r="G1172" s="1037"/>
      <c r="H1172" s="1018"/>
      <c r="I1172" s="1037"/>
      <c r="J1172" s="1037"/>
      <c r="K1172" s="1037"/>
      <c r="L1172" s="1037"/>
      <c r="M1172" s="1037"/>
      <c r="N1172" s="1037"/>
      <c r="O1172" s="1037"/>
      <c r="P1172" s="1037"/>
      <c r="Q1172" s="1037"/>
      <c r="R1172" s="1037"/>
      <c r="S1172" s="1037"/>
      <c r="T1172" s="1037"/>
      <c r="U1172" s="1037"/>
      <c r="V1172" s="1037"/>
      <c r="W1172" s="1037"/>
      <c r="X1172" s="1037"/>
      <c r="Y1172" s="1037"/>
      <c r="Z1172" s="1037"/>
      <c r="AA1172" s="1037"/>
      <c r="AB1172" s="1037"/>
      <c r="AC1172" s="1037"/>
      <c r="AD1172" s="1037"/>
      <c r="AE1172" s="1037"/>
      <c r="AF1172" s="1037"/>
      <c r="AG1172" s="1037"/>
      <c r="AH1172" s="1037"/>
      <c r="AI1172" s="1037"/>
      <c r="AJ1172" s="1037"/>
      <c r="AK1172" s="1037"/>
      <c r="AL1172" s="1037"/>
      <c r="AM1172" s="1037"/>
      <c r="AN1172" s="1037"/>
      <c r="AO1172" s="1037"/>
      <c r="AP1172" s="1037"/>
    </row>
    <row r="1173" spans="1:42" s="226" customFormat="1">
      <c r="A1173" s="2060"/>
      <c r="B1173" s="1037"/>
      <c r="C1173" s="1037"/>
      <c r="D1173" s="1037"/>
      <c r="E1173" s="1037"/>
      <c r="F1173" s="1037"/>
      <c r="G1173" s="1037"/>
      <c r="H1173" s="1018"/>
      <c r="I1173" s="1037"/>
      <c r="J1173" s="1037"/>
      <c r="K1173" s="1037"/>
      <c r="L1173" s="1037"/>
      <c r="M1173" s="1037"/>
      <c r="N1173" s="1037"/>
      <c r="O1173" s="1037"/>
      <c r="P1173" s="1037"/>
      <c r="Q1173" s="1037"/>
      <c r="R1173" s="1037"/>
      <c r="S1173" s="1037"/>
      <c r="T1173" s="1037"/>
      <c r="U1173" s="1037"/>
      <c r="V1173" s="1037"/>
      <c r="W1173" s="1037"/>
      <c r="X1173" s="1037"/>
      <c r="Y1173" s="1037"/>
      <c r="Z1173" s="1037"/>
      <c r="AA1173" s="1037"/>
      <c r="AB1173" s="1037"/>
      <c r="AC1173" s="1037"/>
      <c r="AD1173" s="1037"/>
      <c r="AE1173" s="1037"/>
      <c r="AF1173" s="1037"/>
      <c r="AG1173" s="1037"/>
      <c r="AH1173" s="1037"/>
      <c r="AI1173" s="1037"/>
      <c r="AJ1173" s="1037"/>
      <c r="AK1173" s="1037"/>
      <c r="AL1173" s="1037"/>
      <c r="AM1173" s="1037"/>
      <c r="AN1173" s="1037"/>
      <c r="AO1173" s="1037"/>
      <c r="AP1173" s="1037"/>
    </row>
    <row r="1174" spans="1:42" s="226" customFormat="1">
      <c r="A1174" s="2060"/>
      <c r="B1174" s="1037"/>
      <c r="C1174" s="1037"/>
      <c r="D1174" s="1037"/>
      <c r="E1174" s="1037"/>
      <c r="F1174" s="1037"/>
      <c r="G1174" s="1037"/>
      <c r="H1174" s="1018"/>
      <c r="I1174" s="1037"/>
      <c r="J1174" s="1037"/>
      <c r="K1174" s="1037"/>
      <c r="L1174" s="1037"/>
      <c r="M1174" s="1037"/>
      <c r="N1174" s="1037"/>
      <c r="O1174" s="1037"/>
      <c r="P1174" s="1037"/>
      <c r="Q1174" s="1037"/>
      <c r="R1174" s="1037"/>
      <c r="S1174" s="1037"/>
      <c r="T1174" s="1037"/>
      <c r="U1174" s="1037"/>
      <c r="V1174" s="1037"/>
      <c r="W1174" s="1037"/>
      <c r="X1174" s="1037"/>
      <c r="Y1174" s="1037"/>
      <c r="Z1174" s="1037"/>
      <c r="AA1174" s="1037"/>
      <c r="AB1174" s="1037"/>
      <c r="AC1174" s="1037"/>
      <c r="AD1174" s="1037"/>
      <c r="AE1174" s="1037"/>
      <c r="AF1174" s="1037"/>
      <c r="AG1174" s="1037"/>
      <c r="AH1174" s="1037"/>
      <c r="AI1174" s="1037"/>
      <c r="AJ1174" s="1037"/>
      <c r="AK1174" s="1037"/>
      <c r="AL1174" s="1037"/>
      <c r="AM1174" s="1037"/>
      <c r="AN1174" s="1037"/>
      <c r="AO1174" s="1037"/>
      <c r="AP1174" s="1037"/>
    </row>
    <row r="1175" spans="1:42" s="226" customFormat="1">
      <c r="A1175" s="2060"/>
      <c r="B1175" s="1037"/>
      <c r="C1175" s="1037"/>
      <c r="D1175" s="1037"/>
      <c r="E1175" s="1037"/>
      <c r="F1175" s="1037"/>
      <c r="G1175" s="1037"/>
      <c r="H1175" s="1018"/>
      <c r="I1175" s="1037"/>
      <c r="J1175" s="1037"/>
      <c r="K1175" s="1037"/>
      <c r="L1175" s="1037"/>
      <c r="M1175" s="1037"/>
      <c r="N1175" s="1037"/>
      <c r="O1175" s="1037"/>
      <c r="P1175" s="1037"/>
      <c r="Q1175" s="1037"/>
      <c r="R1175" s="1037"/>
      <c r="S1175" s="1037"/>
      <c r="T1175" s="1037"/>
      <c r="U1175" s="1037"/>
      <c r="V1175" s="1037"/>
      <c r="W1175" s="1037"/>
      <c r="X1175" s="1037"/>
      <c r="Y1175" s="1037"/>
      <c r="Z1175" s="1037"/>
      <c r="AA1175" s="1037"/>
      <c r="AB1175" s="1037"/>
      <c r="AC1175" s="1037"/>
      <c r="AD1175" s="1037"/>
      <c r="AE1175" s="1037"/>
      <c r="AF1175" s="1037"/>
      <c r="AG1175" s="1037"/>
      <c r="AH1175" s="1037"/>
      <c r="AI1175" s="1037"/>
      <c r="AJ1175" s="1037"/>
      <c r="AK1175" s="1037"/>
      <c r="AL1175" s="1037"/>
      <c r="AM1175" s="1037"/>
      <c r="AN1175" s="1037"/>
      <c r="AO1175" s="1037"/>
      <c r="AP1175" s="1037"/>
    </row>
    <row r="1176" spans="1:42" s="226" customFormat="1">
      <c r="A1176" s="2060"/>
      <c r="B1176" s="1037"/>
      <c r="C1176" s="1037"/>
      <c r="D1176" s="1037"/>
      <c r="E1176" s="1037"/>
      <c r="F1176" s="1037"/>
      <c r="G1176" s="1037"/>
      <c r="H1176" s="1018"/>
      <c r="I1176" s="1037"/>
      <c r="J1176" s="1037"/>
      <c r="K1176" s="1037"/>
      <c r="L1176" s="1037"/>
      <c r="M1176" s="1037"/>
      <c r="N1176" s="1037"/>
      <c r="O1176" s="1037"/>
      <c r="P1176" s="1037"/>
      <c r="Q1176" s="1037"/>
      <c r="R1176" s="1037"/>
      <c r="S1176" s="1037"/>
      <c r="T1176" s="1037"/>
      <c r="U1176" s="1037"/>
      <c r="V1176" s="1037"/>
      <c r="W1176" s="1037"/>
      <c r="X1176" s="1037"/>
      <c r="Y1176" s="1037"/>
      <c r="Z1176" s="1037"/>
      <c r="AA1176" s="1037"/>
      <c r="AB1176" s="1037"/>
      <c r="AC1176" s="1037"/>
      <c r="AD1176" s="1037"/>
      <c r="AE1176" s="1037"/>
      <c r="AF1176" s="1037"/>
      <c r="AG1176" s="1037"/>
      <c r="AH1176" s="1037"/>
      <c r="AI1176" s="1037"/>
      <c r="AJ1176" s="1037"/>
      <c r="AK1176" s="1037"/>
      <c r="AL1176" s="1037"/>
      <c r="AM1176" s="1037"/>
      <c r="AN1176" s="1037"/>
      <c r="AO1176" s="1037"/>
      <c r="AP1176" s="1037"/>
    </row>
    <row r="1177" spans="1:42" s="226" customFormat="1">
      <c r="A1177" s="2060"/>
      <c r="B1177" s="1037"/>
      <c r="C1177" s="1037"/>
      <c r="D1177" s="1037"/>
      <c r="E1177" s="1037"/>
      <c r="F1177" s="1037"/>
      <c r="G1177" s="1037"/>
      <c r="H1177" s="1018"/>
      <c r="I1177" s="1037"/>
      <c r="J1177" s="1037"/>
      <c r="K1177" s="1037"/>
      <c r="L1177" s="1037"/>
      <c r="M1177" s="1037"/>
      <c r="N1177" s="1037"/>
      <c r="O1177" s="1037"/>
      <c r="P1177" s="1037"/>
      <c r="Q1177" s="1037"/>
      <c r="R1177" s="1037"/>
      <c r="S1177" s="1037"/>
      <c r="T1177" s="1037"/>
      <c r="U1177" s="1037"/>
      <c r="V1177" s="1037"/>
      <c r="W1177" s="1037"/>
      <c r="X1177" s="1037"/>
      <c r="Y1177" s="1037"/>
      <c r="Z1177" s="1037"/>
      <c r="AA1177" s="1037"/>
      <c r="AB1177" s="1037"/>
      <c r="AC1177" s="1037"/>
      <c r="AD1177" s="1037"/>
      <c r="AE1177" s="1037"/>
      <c r="AF1177" s="1037"/>
      <c r="AG1177" s="1037"/>
      <c r="AH1177" s="1037"/>
      <c r="AI1177" s="1037"/>
      <c r="AJ1177" s="1037"/>
      <c r="AK1177" s="1037"/>
      <c r="AL1177" s="1037"/>
      <c r="AM1177" s="1037"/>
      <c r="AN1177" s="1037"/>
      <c r="AO1177" s="1037"/>
      <c r="AP1177" s="1037"/>
    </row>
    <row r="1178" spans="1:42" s="226" customFormat="1">
      <c r="A1178" s="2060"/>
      <c r="B1178" s="1037"/>
      <c r="C1178" s="1037"/>
      <c r="D1178" s="1037"/>
      <c r="E1178" s="1037"/>
      <c r="F1178" s="1037"/>
      <c r="G1178" s="1037"/>
      <c r="H1178" s="1018"/>
      <c r="I1178" s="1037"/>
      <c r="J1178" s="1037"/>
      <c r="K1178" s="1037"/>
      <c r="L1178" s="1037"/>
      <c r="M1178" s="1037"/>
      <c r="N1178" s="1037"/>
      <c r="O1178" s="1037"/>
      <c r="P1178" s="1037"/>
      <c r="Q1178" s="1037"/>
      <c r="R1178" s="1037"/>
      <c r="S1178" s="1037"/>
      <c r="T1178" s="1037"/>
      <c r="U1178" s="1037"/>
      <c r="V1178" s="1037"/>
      <c r="W1178" s="1037"/>
      <c r="X1178" s="1037"/>
      <c r="Y1178" s="1037"/>
      <c r="Z1178" s="1037"/>
      <c r="AA1178" s="1037"/>
      <c r="AB1178" s="1037"/>
      <c r="AC1178" s="1037"/>
      <c r="AD1178" s="1037"/>
      <c r="AE1178" s="1037"/>
      <c r="AF1178" s="1037"/>
      <c r="AG1178" s="1037"/>
      <c r="AH1178" s="1037"/>
      <c r="AI1178" s="1037"/>
      <c r="AJ1178" s="1037"/>
      <c r="AK1178" s="1037"/>
      <c r="AL1178" s="1037"/>
      <c r="AM1178" s="1037"/>
      <c r="AN1178" s="1037"/>
      <c r="AO1178" s="1037"/>
      <c r="AP1178" s="1037"/>
    </row>
    <row r="1179" spans="1:42" s="226" customFormat="1">
      <c r="A1179" s="2060"/>
      <c r="B1179" s="1037"/>
      <c r="C1179" s="1037"/>
      <c r="D1179" s="1037"/>
      <c r="E1179" s="1037"/>
      <c r="F1179" s="1037"/>
      <c r="G1179" s="1037"/>
      <c r="H1179" s="1018"/>
      <c r="I1179" s="1037"/>
      <c r="J1179" s="1037"/>
      <c r="K1179" s="1037"/>
      <c r="L1179" s="1037"/>
      <c r="M1179" s="1037"/>
      <c r="N1179" s="1037"/>
      <c r="O1179" s="1037"/>
      <c r="P1179" s="1037"/>
      <c r="Q1179" s="1037"/>
      <c r="R1179" s="1037"/>
      <c r="S1179" s="1037"/>
      <c r="T1179" s="1037"/>
      <c r="U1179" s="1037"/>
      <c r="V1179" s="1037"/>
      <c r="W1179" s="1037"/>
      <c r="X1179" s="1037"/>
      <c r="Y1179" s="1037"/>
      <c r="Z1179" s="1037"/>
      <c r="AA1179" s="1037"/>
      <c r="AB1179" s="1037"/>
      <c r="AC1179" s="1037"/>
      <c r="AD1179" s="1037"/>
      <c r="AE1179" s="1037"/>
      <c r="AF1179" s="1037"/>
      <c r="AG1179" s="1037"/>
      <c r="AH1179" s="1037"/>
      <c r="AI1179" s="1037"/>
      <c r="AJ1179" s="1037"/>
      <c r="AK1179" s="1037"/>
      <c r="AL1179" s="1037"/>
      <c r="AM1179" s="1037"/>
      <c r="AN1179" s="1037"/>
      <c r="AO1179" s="1037"/>
      <c r="AP1179" s="1037"/>
    </row>
    <row r="1180" spans="1:42" s="226" customFormat="1">
      <c r="A1180" s="2060"/>
      <c r="B1180" s="1037"/>
      <c r="C1180" s="1037"/>
      <c r="D1180" s="1037"/>
      <c r="E1180" s="1037"/>
      <c r="F1180" s="1037"/>
      <c r="G1180" s="1037"/>
      <c r="H1180" s="1018"/>
      <c r="I1180" s="1037"/>
      <c r="J1180" s="1037"/>
      <c r="K1180" s="1037"/>
      <c r="L1180" s="1037"/>
      <c r="M1180" s="1037"/>
      <c r="N1180" s="1037"/>
      <c r="O1180" s="1037"/>
      <c r="P1180" s="1037"/>
      <c r="Q1180" s="1037"/>
      <c r="R1180" s="1037"/>
      <c r="S1180" s="1037"/>
      <c r="T1180" s="1037"/>
      <c r="U1180" s="1037"/>
      <c r="V1180" s="1037"/>
      <c r="W1180" s="1037"/>
      <c r="X1180" s="1037"/>
      <c r="Y1180" s="1037"/>
      <c r="Z1180" s="1037"/>
      <c r="AA1180" s="1037"/>
      <c r="AB1180" s="1037"/>
      <c r="AC1180" s="1037"/>
      <c r="AD1180" s="1037"/>
      <c r="AE1180" s="1037"/>
      <c r="AF1180" s="1037"/>
      <c r="AG1180" s="1037"/>
      <c r="AH1180" s="1037"/>
      <c r="AI1180" s="1037"/>
      <c r="AJ1180" s="1037"/>
      <c r="AK1180" s="1037"/>
      <c r="AL1180" s="1037"/>
      <c r="AM1180" s="1037"/>
      <c r="AN1180" s="1037"/>
      <c r="AO1180" s="1037"/>
      <c r="AP1180" s="1037"/>
    </row>
    <row r="1181" spans="1:42" s="226" customFormat="1">
      <c r="A1181" s="2060"/>
      <c r="B1181" s="1037"/>
      <c r="C1181" s="1037"/>
      <c r="D1181" s="1037"/>
      <c r="E1181" s="1037"/>
      <c r="F1181" s="1037"/>
      <c r="G1181" s="1037"/>
      <c r="H1181" s="1018"/>
      <c r="I1181" s="1037"/>
      <c r="J1181" s="1037"/>
      <c r="K1181" s="1037"/>
      <c r="L1181" s="1037"/>
      <c r="M1181" s="1037"/>
      <c r="N1181" s="1037"/>
      <c r="O1181" s="1037"/>
      <c r="P1181" s="1037"/>
      <c r="Q1181" s="1037"/>
      <c r="R1181" s="1037"/>
      <c r="S1181" s="1037"/>
      <c r="T1181" s="1037"/>
      <c r="U1181" s="1037"/>
      <c r="V1181" s="1037"/>
      <c r="W1181" s="1037"/>
      <c r="X1181" s="1037"/>
      <c r="Y1181" s="1037"/>
      <c r="Z1181" s="1037"/>
      <c r="AA1181" s="1037"/>
      <c r="AB1181" s="1037"/>
      <c r="AC1181" s="1037"/>
      <c r="AD1181" s="1037"/>
      <c r="AE1181" s="1037"/>
      <c r="AF1181" s="1037"/>
      <c r="AG1181" s="1037"/>
      <c r="AH1181" s="1037"/>
      <c r="AI1181" s="1037"/>
      <c r="AJ1181" s="1037"/>
      <c r="AK1181" s="1037"/>
      <c r="AL1181" s="1037"/>
      <c r="AM1181" s="1037"/>
      <c r="AN1181" s="1037"/>
      <c r="AO1181" s="1037"/>
      <c r="AP1181" s="1037"/>
    </row>
    <row r="1182" spans="1:42" s="226" customFormat="1">
      <c r="A1182" s="2060"/>
      <c r="B1182" s="1037"/>
      <c r="C1182" s="1037"/>
      <c r="D1182" s="1037"/>
      <c r="E1182" s="1037"/>
      <c r="F1182" s="1037"/>
      <c r="G1182" s="1037"/>
      <c r="H1182" s="1018"/>
      <c r="I1182" s="1037"/>
      <c r="J1182" s="1037"/>
      <c r="K1182" s="1037"/>
      <c r="L1182" s="1037"/>
      <c r="M1182" s="1037"/>
      <c r="N1182" s="1037"/>
      <c r="O1182" s="1037"/>
      <c r="P1182" s="1037"/>
      <c r="Q1182" s="1037"/>
      <c r="R1182" s="1037"/>
      <c r="S1182" s="1037"/>
      <c r="T1182" s="1037"/>
      <c r="U1182" s="1037"/>
      <c r="V1182" s="1037"/>
      <c r="W1182" s="1037"/>
      <c r="X1182" s="1037"/>
      <c r="Y1182" s="1037"/>
      <c r="Z1182" s="1037"/>
      <c r="AA1182" s="1037"/>
      <c r="AB1182" s="1037"/>
      <c r="AC1182" s="1037"/>
      <c r="AD1182" s="1037"/>
      <c r="AE1182" s="1037"/>
      <c r="AF1182" s="1037"/>
      <c r="AG1182" s="1037"/>
      <c r="AH1182" s="1037"/>
      <c r="AI1182" s="1037"/>
      <c r="AJ1182" s="1037"/>
      <c r="AK1182" s="1037"/>
      <c r="AL1182" s="1037"/>
      <c r="AM1182" s="1037"/>
      <c r="AN1182" s="1037"/>
      <c r="AO1182" s="1037"/>
      <c r="AP1182" s="1037"/>
    </row>
    <row r="1183" spans="1:42" s="226" customFormat="1">
      <c r="A1183" s="2060"/>
      <c r="B1183" s="1037"/>
      <c r="C1183" s="1037"/>
      <c r="D1183" s="1037"/>
      <c r="E1183" s="1037"/>
      <c r="F1183" s="1037"/>
      <c r="G1183" s="1037"/>
      <c r="H1183" s="1018"/>
      <c r="I1183" s="1037"/>
      <c r="J1183" s="1037"/>
      <c r="K1183" s="1037"/>
      <c r="L1183" s="1037"/>
      <c r="M1183" s="1037"/>
      <c r="N1183" s="1037"/>
      <c r="O1183" s="1037"/>
      <c r="P1183" s="1037"/>
      <c r="Q1183" s="1037"/>
      <c r="R1183" s="1037"/>
      <c r="S1183" s="1037"/>
      <c r="T1183" s="1037"/>
      <c r="U1183" s="1037"/>
      <c r="V1183" s="1037"/>
      <c r="W1183" s="1037"/>
      <c r="X1183" s="1037"/>
      <c r="Y1183" s="1037"/>
      <c r="Z1183" s="1037"/>
      <c r="AA1183" s="1037"/>
      <c r="AB1183" s="1037"/>
      <c r="AC1183" s="1037"/>
      <c r="AD1183" s="1037"/>
      <c r="AE1183" s="1037"/>
      <c r="AF1183" s="1037"/>
      <c r="AG1183" s="1037"/>
      <c r="AH1183" s="1037"/>
      <c r="AI1183" s="1037"/>
      <c r="AJ1183" s="1037"/>
      <c r="AK1183" s="1037"/>
      <c r="AL1183" s="1037"/>
      <c r="AM1183" s="1037"/>
      <c r="AN1183" s="1037"/>
      <c r="AO1183" s="1037"/>
      <c r="AP1183" s="1037"/>
    </row>
    <row r="1184" spans="1:42" s="226" customFormat="1">
      <c r="A1184" s="2060"/>
      <c r="B1184" s="1037"/>
      <c r="C1184" s="1037"/>
      <c r="D1184" s="1037"/>
      <c r="E1184" s="1037"/>
      <c r="F1184" s="1037"/>
      <c r="G1184" s="1037"/>
      <c r="H1184" s="1018"/>
      <c r="I1184" s="1037"/>
      <c r="J1184" s="1037"/>
      <c r="K1184" s="1037"/>
      <c r="L1184" s="1037"/>
      <c r="M1184" s="1037"/>
      <c r="N1184" s="1037"/>
      <c r="O1184" s="1037"/>
      <c r="P1184" s="1037"/>
      <c r="Q1184" s="1037"/>
      <c r="R1184" s="1037"/>
      <c r="S1184" s="1037"/>
      <c r="T1184" s="1037"/>
      <c r="U1184" s="1037"/>
      <c r="V1184" s="1037"/>
      <c r="W1184" s="1037"/>
      <c r="X1184" s="1037"/>
      <c r="Y1184" s="1037"/>
      <c r="Z1184" s="1037"/>
      <c r="AA1184" s="1037"/>
      <c r="AB1184" s="1037"/>
      <c r="AC1184" s="1037"/>
      <c r="AD1184" s="1037"/>
      <c r="AE1184" s="1037"/>
      <c r="AF1184" s="1037"/>
      <c r="AG1184" s="1037"/>
      <c r="AH1184" s="1037"/>
      <c r="AI1184" s="1037"/>
      <c r="AJ1184" s="1037"/>
      <c r="AK1184" s="1037"/>
      <c r="AL1184" s="1037"/>
      <c r="AM1184" s="1037"/>
      <c r="AN1184" s="1037"/>
      <c r="AO1184" s="1037"/>
      <c r="AP1184" s="1037"/>
    </row>
    <row r="1185" spans="1:42" s="226" customFormat="1">
      <c r="A1185" s="2060"/>
      <c r="B1185" s="1037"/>
      <c r="C1185" s="1037"/>
      <c r="D1185" s="1037"/>
      <c r="E1185" s="1037"/>
      <c r="F1185" s="1037"/>
      <c r="G1185" s="1037"/>
      <c r="H1185" s="1018"/>
      <c r="I1185" s="1037"/>
      <c r="J1185" s="1037"/>
      <c r="K1185" s="1037"/>
      <c r="L1185" s="1037"/>
      <c r="M1185" s="1037"/>
      <c r="N1185" s="1037"/>
      <c r="O1185" s="1037"/>
      <c r="P1185" s="1037"/>
      <c r="Q1185" s="1037"/>
      <c r="R1185" s="1037"/>
      <c r="S1185" s="1037"/>
      <c r="T1185" s="1037"/>
      <c r="U1185" s="1037"/>
      <c r="V1185" s="1037"/>
      <c r="W1185" s="1037"/>
      <c r="X1185" s="1037"/>
      <c r="Y1185" s="1037"/>
      <c r="Z1185" s="1037"/>
      <c r="AA1185" s="1037"/>
      <c r="AB1185" s="1037"/>
      <c r="AC1185" s="1037"/>
      <c r="AD1185" s="1037"/>
      <c r="AE1185" s="1037"/>
      <c r="AF1185" s="1037"/>
      <c r="AG1185" s="1037"/>
      <c r="AH1185" s="1037"/>
      <c r="AI1185" s="1037"/>
      <c r="AJ1185" s="1037"/>
      <c r="AK1185" s="1037"/>
      <c r="AL1185" s="1037"/>
      <c r="AM1185" s="1037"/>
      <c r="AN1185" s="1037"/>
      <c r="AO1185" s="1037"/>
      <c r="AP1185" s="1037"/>
    </row>
    <row r="1186" spans="1:42" s="226" customFormat="1">
      <c r="A1186" s="2060"/>
      <c r="B1186" s="1037"/>
      <c r="C1186" s="1037"/>
      <c r="D1186" s="1037"/>
      <c r="E1186" s="1037"/>
      <c r="F1186" s="1037"/>
      <c r="G1186" s="1037"/>
      <c r="H1186" s="1018"/>
      <c r="I1186" s="1037"/>
      <c r="J1186" s="1037"/>
      <c r="K1186" s="1037"/>
      <c r="L1186" s="1037"/>
      <c r="M1186" s="1037"/>
      <c r="N1186" s="1037"/>
      <c r="O1186" s="1037"/>
      <c r="P1186" s="1037"/>
      <c r="Q1186" s="1037"/>
      <c r="R1186" s="1037"/>
      <c r="S1186" s="1037"/>
      <c r="T1186" s="1037"/>
      <c r="U1186" s="1037"/>
      <c r="V1186" s="1037"/>
      <c r="W1186" s="1037"/>
      <c r="X1186" s="1037"/>
      <c r="Y1186" s="1037"/>
      <c r="Z1186" s="1037"/>
      <c r="AA1186" s="1037"/>
      <c r="AB1186" s="1037"/>
      <c r="AC1186" s="1037"/>
      <c r="AD1186" s="1037"/>
      <c r="AE1186" s="1037"/>
      <c r="AF1186" s="1037"/>
      <c r="AG1186" s="1037"/>
      <c r="AH1186" s="1037"/>
      <c r="AI1186" s="1037"/>
      <c r="AJ1186" s="1037"/>
      <c r="AK1186" s="1037"/>
      <c r="AL1186" s="1037"/>
      <c r="AM1186" s="1037"/>
      <c r="AN1186" s="1037"/>
      <c r="AO1186" s="1037"/>
      <c r="AP1186" s="1037"/>
    </row>
    <row r="1187" spans="1:42" s="226" customFormat="1">
      <c r="A1187" s="2060"/>
      <c r="B1187" s="1037"/>
      <c r="C1187" s="1037"/>
      <c r="D1187" s="1037"/>
      <c r="E1187" s="1037"/>
      <c r="F1187" s="1037"/>
      <c r="G1187" s="1037"/>
      <c r="H1187" s="1018"/>
      <c r="I1187" s="1037"/>
      <c r="J1187" s="1037"/>
      <c r="K1187" s="1037"/>
      <c r="L1187" s="1037"/>
      <c r="M1187" s="1037"/>
      <c r="N1187" s="1037"/>
      <c r="O1187" s="1037"/>
      <c r="P1187" s="1037"/>
      <c r="Q1187" s="1037"/>
      <c r="R1187" s="1037"/>
      <c r="S1187" s="1037"/>
      <c r="T1187" s="1037"/>
      <c r="U1187" s="1037"/>
      <c r="V1187" s="1037"/>
      <c r="W1187" s="1037"/>
      <c r="X1187" s="1037"/>
      <c r="Y1187" s="1037"/>
      <c r="Z1187" s="1037"/>
      <c r="AA1187" s="1037"/>
      <c r="AB1187" s="1037"/>
      <c r="AC1187" s="1037"/>
      <c r="AD1187" s="1037"/>
      <c r="AE1187" s="1037"/>
      <c r="AF1187" s="1037"/>
      <c r="AG1187" s="1037"/>
      <c r="AH1187" s="1037"/>
      <c r="AI1187" s="1037"/>
      <c r="AJ1187" s="1037"/>
      <c r="AK1187" s="1037"/>
      <c r="AL1187" s="1037"/>
      <c r="AM1187" s="1037"/>
      <c r="AN1187" s="1037"/>
      <c r="AO1187" s="1037"/>
      <c r="AP1187" s="1037"/>
    </row>
    <row r="1188" spans="1:42" s="226" customFormat="1">
      <c r="A1188" s="2060"/>
      <c r="B1188" s="1037"/>
      <c r="C1188" s="1037"/>
      <c r="D1188" s="1037"/>
      <c r="E1188" s="1037"/>
      <c r="F1188" s="1037"/>
      <c r="G1188" s="1037"/>
      <c r="H1188" s="1018"/>
      <c r="I1188" s="1037"/>
      <c r="J1188" s="1037"/>
      <c r="K1188" s="1037"/>
      <c r="L1188" s="1037"/>
      <c r="M1188" s="1037"/>
      <c r="N1188" s="1037"/>
      <c r="O1188" s="1037"/>
      <c r="P1188" s="1037"/>
      <c r="Q1188" s="1037"/>
      <c r="R1188" s="1037"/>
      <c r="S1188" s="1037"/>
      <c r="T1188" s="1037"/>
      <c r="U1188" s="1037"/>
      <c r="V1188" s="1037"/>
      <c r="W1188" s="1037"/>
      <c r="X1188" s="1037"/>
      <c r="Y1188" s="1037"/>
      <c r="Z1188" s="1037"/>
      <c r="AA1188" s="1037"/>
      <c r="AB1188" s="1037"/>
      <c r="AC1188" s="1037"/>
      <c r="AD1188" s="1037"/>
      <c r="AE1188" s="1037"/>
      <c r="AF1188" s="1037"/>
      <c r="AG1188" s="1037"/>
      <c r="AH1188" s="1037"/>
      <c r="AI1188" s="1037"/>
      <c r="AJ1188" s="1037"/>
      <c r="AK1188" s="1037"/>
      <c r="AL1188" s="1037"/>
      <c r="AM1188" s="1037"/>
      <c r="AN1188" s="1037"/>
      <c r="AO1188" s="1037"/>
      <c r="AP1188" s="1037"/>
    </row>
    <row r="1189" spans="1:42" s="226" customFormat="1">
      <c r="A1189" s="2060"/>
      <c r="B1189" s="1037"/>
      <c r="C1189" s="1037"/>
      <c r="D1189" s="1037"/>
      <c r="E1189" s="1037"/>
      <c r="F1189" s="1037"/>
      <c r="G1189" s="1037"/>
      <c r="H1189" s="1018"/>
      <c r="I1189" s="1037"/>
      <c r="J1189" s="1037"/>
      <c r="K1189" s="1037"/>
      <c r="L1189" s="1037"/>
      <c r="M1189" s="1037"/>
      <c r="N1189" s="1037"/>
      <c r="O1189" s="1037"/>
      <c r="P1189" s="1037"/>
      <c r="Q1189" s="1037"/>
      <c r="R1189" s="1037"/>
      <c r="S1189" s="1037"/>
      <c r="T1189" s="1037"/>
      <c r="U1189" s="1037"/>
      <c r="V1189" s="1037"/>
      <c r="W1189" s="1037"/>
      <c r="X1189" s="1037"/>
      <c r="Y1189" s="1037"/>
      <c r="Z1189" s="1037"/>
      <c r="AA1189" s="1037"/>
      <c r="AB1189" s="1037"/>
      <c r="AC1189" s="1037"/>
      <c r="AD1189" s="1037"/>
      <c r="AE1189" s="1037"/>
      <c r="AF1189" s="1037"/>
      <c r="AG1189" s="1037"/>
      <c r="AH1189" s="1037"/>
      <c r="AI1189" s="1037"/>
      <c r="AJ1189" s="1037"/>
      <c r="AK1189" s="1037"/>
      <c r="AL1189" s="1037"/>
      <c r="AM1189" s="1037"/>
      <c r="AN1189" s="1037"/>
      <c r="AO1189" s="1037"/>
      <c r="AP1189" s="1037"/>
    </row>
    <row r="1190" spans="1:42" s="226" customFormat="1">
      <c r="A1190" s="2060"/>
      <c r="B1190" s="1037"/>
      <c r="C1190" s="1037"/>
      <c r="D1190" s="1037"/>
      <c r="E1190" s="1037"/>
      <c r="F1190" s="1037"/>
      <c r="G1190" s="1037"/>
      <c r="H1190" s="1018"/>
      <c r="I1190" s="1037"/>
      <c r="J1190" s="1037"/>
      <c r="K1190" s="1037"/>
      <c r="L1190" s="1037"/>
      <c r="M1190" s="1037"/>
      <c r="N1190" s="1037"/>
      <c r="O1190" s="1037"/>
      <c r="P1190" s="1037"/>
      <c r="Q1190" s="1037"/>
      <c r="R1190" s="1037"/>
      <c r="S1190" s="1037"/>
      <c r="T1190" s="1037"/>
      <c r="U1190" s="1037"/>
      <c r="V1190" s="1037"/>
      <c r="W1190" s="1037"/>
      <c r="X1190" s="1037"/>
      <c r="Y1190" s="1037"/>
      <c r="Z1190" s="1037"/>
      <c r="AA1190" s="1037"/>
      <c r="AB1190" s="1037"/>
      <c r="AC1190" s="1037"/>
      <c r="AD1190" s="1037"/>
      <c r="AE1190" s="1037"/>
      <c r="AF1190" s="1037"/>
      <c r="AG1190" s="1037"/>
      <c r="AH1190" s="1037"/>
      <c r="AI1190" s="1037"/>
      <c r="AJ1190" s="1037"/>
      <c r="AK1190" s="1037"/>
      <c r="AL1190" s="1037"/>
      <c r="AM1190" s="1037"/>
      <c r="AN1190" s="1037"/>
      <c r="AO1190" s="1037"/>
      <c r="AP1190" s="1037"/>
    </row>
    <row r="1191" spans="1:42" s="226" customFormat="1">
      <c r="A1191" s="2060"/>
      <c r="B1191" s="1037"/>
      <c r="C1191" s="1037"/>
      <c r="D1191" s="1037"/>
      <c r="E1191" s="1037"/>
      <c r="F1191" s="1037"/>
      <c r="G1191" s="1037"/>
      <c r="H1191" s="1018"/>
      <c r="I1191" s="1037"/>
      <c r="J1191" s="1037"/>
      <c r="K1191" s="1037"/>
      <c r="L1191" s="1037"/>
      <c r="M1191" s="1037"/>
      <c r="N1191" s="1037"/>
      <c r="O1191" s="1037"/>
      <c r="P1191" s="1037"/>
      <c r="Q1191" s="1037"/>
      <c r="R1191" s="1037"/>
      <c r="S1191" s="1037"/>
      <c r="T1191" s="1037"/>
      <c r="U1191" s="1037"/>
      <c r="V1191" s="1037"/>
      <c r="W1191" s="1037"/>
      <c r="X1191" s="1037"/>
      <c r="Y1191" s="1037"/>
      <c r="Z1191" s="1037"/>
      <c r="AA1191" s="1037"/>
      <c r="AB1191" s="1037"/>
      <c r="AC1191" s="1037"/>
      <c r="AD1191" s="1037"/>
      <c r="AE1191" s="1037"/>
      <c r="AF1191" s="1037"/>
      <c r="AG1191" s="1037"/>
      <c r="AH1191" s="1037"/>
      <c r="AI1191" s="1037"/>
      <c r="AJ1191" s="1037"/>
      <c r="AK1191" s="1037"/>
      <c r="AL1191" s="1037"/>
      <c r="AM1191" s="1037"/>
      <c r="AN1191" s="1037"/>
      <c r="AO1191" s="1037"/>
      <c r="AP1191" s="1037"/>
    </row>
    <row r="1192" spans="1:42" s="226" customFormat="1">
      <c r="A1192" s="2060"/>
      <c r="B1192" s="1037"/>
      <c r="C1192" s="1037"/>
      <c r="D1192" s="1037"/>
      <c r="E1192" s="1037"/>
      <c r="F1192" s="1037"/>
      <c r="G1192" s="1037"/>
      <c r="H1192" s="1018"/>
      <c r="I1192" s="1037"/>
      <c r="J1192" s="1037"/>
      <c r="K1192" s="1037"/>
      <c r="L1192" s="1037"/>
      <c r="M1192" s="1037"/>
      <c r="N1192" s="1037"/>
      <c r="O1192" s="1037"/>
      <c r="P1192" s="1037"/>
      <c r="Q1192" s="1037"/>
      <c r="R1192" s="1037"/>
      <c r="S1192" s="1037"/>
      <c r="T1192" s="1037"/>
      <c r="U1192" s="1037"/>
      <c r="V1192" s="1037"/>
      <c r="W1192" s="1037"/>
      <c r="X1192" s="1037"/>
      <c r="Y1192" s="1037"/>
      <c r="Z1192" s="1037"/>
      <c r="AA1192" s="1037"/>
      <c r="AB1192" s="1037"/>
      <c r="AC1192" s="1037"/>
      <c r="AD1192" s="1037"/>
      <c r="AE1192" s="1037"/>
      <c r="AF1192" s="1037"/>
      <c r="AG1192" s="1037"/>
      <c r="AH1192" s="1037"/>
      <c r="AI1192" s="1037"/>
      <c r="AJ1192" s="1037"/>
      <c r="AK1192" s="1037"/>
      <c r="AL1192" s="1037"/>
      <c r="AM1192" s="1037"/>
      <c r="AN1192" s="1037"/>
      <c r="AO1192" s="1037"/>
      <c r="AP1192" s="1037"/>
    </row>
    <row r="1193" spans="1:42" s="226" customFormat="1">
      <c r="A1193" s="2060"/>
      <c r="B1193" s="1037"/>
      <c r="C1193" s="1037"/>
      <c r="D1193" s="1037"/>
      <c r="E1193" s="1037"/>
      <c r="F1193" s="1037"/>
      <c r="G1193" s="1037"/>
      <c r="H1193" s="1018"/>
      <c r="I1193" s="1037"/>
      <c r="J1193" s="1037"/>
      <c r="K1193" s="1037"/>
      <c r="L1193" s="1037"/>
      <c r="M1193" s="1037"/>
      <c r="N1193" s="1037"/>
      <c r="O1193" s="1037"/>
      <c r="P1193" s="1037"/>
      <c r="Q1193" s="1037"/>
      <c r="R1193" s="1037"/>
      <c r="S1193" s="1037"/>
      <c r="T1193" s="1037"/>
      <c r="U1193" s="1037"/>
      <c r="V1193" s="1037"/>
      <c r="W1193" s="1037"/>
      <c r="X1193" s="1037"/>
      <c r="Y1193" s="1037"/>
      <c r="Z1193" s="1037"/>
      <c r="AA1193" s="1037"/>
      <c r="AB1193" s="1037"/>
      <c r="AC1193" s="1037"/>
      <c r="AD1193" s="1037"/>
      <c r="AE1193" s="1037"/>
      <c r="AF1193" s="1037"/>
      <c r="AG1193" s="1037"/>
      <c r="AH1193" s="1037"/>
      <c r="AI1193" s="1037"/>
      <c r="AJ1193" s="1037"/>
      <c r="AK1193" s="1037"/>
      <c r="AL1193" s="1037"/>
      <c r="AM1193" s="1037"/>
      <c r="AN1193" s="1037"/>
      <c r="AO1193" s="1037"/>
      <c r="AP1193" s="1037"/>
    </row>
    <row r="1194" spans="1:42" s="226" customFormat="1">
      <c r="A1194" s="2060"/>
      <c r="B1194" s="1037"/>
      <c r="C1194" s="1037"/>
      <c r="D1194" s="1037"/>
      <c r="E1194" s="1037"/>
      <c r="F1194" s="1037"/>
      <c r="G1194" s="1037"/>
      <c r="H1194" s="1018"/>
      <c r="I1194" s="1037"/>
      <c r="J1194" s="1037"/>
      <c r="K1194" s="1037"/>
      <c r="L1194" s="1037"/>
      <c r="M1194" s="1037"/>
      <c r="N1194" s="1037"/>
      <c r="O1194" s="1037"/>
      <c r="P1194" s="1037"/>
      <c r="Q1194" s="1037"/>
      <c r="R1194" s="1037"/>
      <c r="S1194" s="1037"/>
      <c r="T1194" s="1037"/>
      <c r="U1194" s="1037"/>
      <c r="V1194" s="1037"/>
      <c r="W1194" s="1037"/>
      <c r="X1194" s="1037"/>
      <c r="Y1194" s="1037"/>
      <c r="Z1194" s="1037"/>
      <c r="AA1194" s="1037"/>
      <c r="AB1194" s="1037"/>
      <c r="AC1194" s="1037"/>
      <c r="AD1194" s="1037"/>
      <c r="AE1194" s="1037"/>
      <c r="AF1194" s="1037"/>
      <c r="AG1194" s="1037"/>
      <c r="AH1194" s="1037"/>
      <c r="AI1194" s="1037"/>
      <c r="AJ1194" s="1037"/>
      <c r="AK1194" s="1037"/>
      <c r="AL1194" s="1037"/>
      <c r="AM1194" s="1037"/>
      <c r="AN1194" s="1037"/>
      <c r="AO1194" s="1037"/>
      <c r="AP1194" s="1037"/>
    </row>
    <row r="1195" spans="1:42" s="226" customFormat="1">
      <c r="A1195" s="2060"/>
      <c r="B1195" s="1037"/>
      <c r="C1195" s="1037"/>
      <c r="D1195" s="1037"/>
      <c r="E1195" s="1037"/>
      <c r="F1195" s="1037"/>
      <c r="G1195" s="1037"/>
      <c r="H1195" s="1018"/>
      <c r="I1195" s="1037"/>
      <c r="J1195" s="1037"/>
      <c r="K1195" s="1037"/>
      <c r="L1195" s="1037"/>
      <c r="M1195" s="1037"/>
      <c r="N1195" s="1037"/>
      <c r="O1195" s="1037"/>
      <c r="P1195" s="1037"/>
      <c r="Q1195" s="1037"/>
      <c r="R1195" s="1037"/>
      <c r="S1195" s="1037"/>
      <c r="T1195" s="1037"/>
      <c r="U1195" s="1037"/>
      <c r="V1195" s="1037"/>
      <c r="W1195" s="1037"/>
      <c r="X1195" s="1037"/>
      <c r="Y1195" s="1037"/>
      <c r="Z1195" s="1037"/>
      <c r="AA1195" s="1037"/>
      <c r="AB1195" s="1037"/>
      <c r="AC1195" s="1037"/>
      <c r="AD1195" s="1037"/>
      <c r="AE1195" s="1037"/>
      <c r="AF1195" s="1037"/>
      <c r="AG1195" s="1037"/>
      <c r="AH1195" s="1037"/>
      <c r="AI1195" s="1037"/>
      <c r="AJ1195" s="1037"/>
      <c r="AK1195" s="1037"/>
      <c r="AL1195" s="1037"/>
      <c r="AM1195" s="1037"/>
      <c r="AN1195" s="1037"/>
      <c r="AO1195" s="1037"/>
      <c r="AP1195" s="1037"/>
    </row>
    <row r="1196" spans="1:42" s="226" customFormat="1">
      <c r="A1196" s="2060"/>
      <c r="B1196" s="1037"/>
      <c r="C1196" s="1037"/>
      <c r="D1196" s="1037"/>
      <c r="E1196" s="1037"/>
      <c r="F1196" s="1037"/>
      <c r="G1196" s="1037"/>
      <c r="H1196" s="1018"/>
      <c r="I1196" s="1037"/>
      <c r="J1196" s="1037"/>
      <c r="K1196" s="1037"/>
      <c r="L1196" s="1037"/>
      <c r="M1196" s="1037"/>
      <c r="N1196" s="1037"/>
      <c r="O1196" s="1037"/>
      <c r="P1196" s="1037"/>
      <c r="Q1196" s="1037"/>
      <c r="R1196" s="1037"/>
      <c r="S1196" s="1037"/>
      <c r="T1196" s="1037"/>
      <c r="U1196" s="1037"/>
      <c r="V1196" s="1037"/>
      <c r="W1196" s="1037"/>
      <c r="X1196" s="1037"/>
      <c r="Y1196" s="1037"/>
      <c r="Z1196" s="1037"/>
      <c r="AA1196" s="1037"/>
      <c r="AB1196" s="1037"/>
      <c r="AC1196" s="1037"/>
      <c r="AD1196" s="1037"/>
      <c r="AE1196" s="1037"/>
      <c r="AF1196" s="1037"/>
      <c r="AG1196" s="1037"/>
      <c r="AH1196" s="1037"/>
      <c r="AI1196" s="1037"/>
      <c r="AJ1196" s="1037"/>
      <c r="AK1196" s="1037"/>
      <c r="AL1196" s="1037"/>
      <c r="AM1196" s="1037"/>
      <c r="AN1196" s="1037"/>
      <c r="AO1196" s="1037"/>
      <c r="AP1196" s="1037"/>
    </row>
    <row r="1197" spans="1:42" s="226" customFormat="1">
      <c r="A1197" s="2060"/>
      <c r="B1197" s="1037"/>
      <c r="C1197" s="1037"/>
      <c r="D1197" s="1037"/>
      <c r="E1197" s="1037"/>
      <c r="F1197" s="1037"/>
      <c r="G1197" s="1037"/>
      <c r="H1197" s="1018"/>
      <c r="I1197" s="1037"/>
      <c r="J1197" s="1037"/>
      <c r="K1197" s="1037"/>
      <c r="L1197" s="1037"/>
      <c r="M1197" s="1037"/>
      <c r="N1197" s="1037"/>
      <c r="O1197" s="1037"/>
      <c r="P1197" s="1037"/>
      <c r="Q1197" s="1037"/>
      <c r="R1197" s="1037"/>
      <c r="S1197" s="1037"/>
      <c r="T1197" s="1037"/>
      <c r="U1197" s="1037"/>
      <c r="V1197" s="1037"/>
      <c r="W1197" s="1037"/>
      <c r="X1197" s="1037"/>
      <c r="Y1197" s="1037"/>
      <c r="Z1197" s="1037"/>
      <c r="AA1197" s="1037"/>
      <c r="AB1197" s="1037"/>
      <c r="AC1197" s="1037"/>
      <c r="AD1197" s="1037"/>
      <c r="AE1197" s="1037"/>
      <c r="AF1197" s="1037"/>
      <c r="AG1197" s="1037"/>
      <c r="AH1197" s="1037"/>
      <c r="AI1197" s="1037"/>
      <c r="AJ1197" s="1037"/>
      <c r="AK1197" s="1037"/>
      <c r="AL1197" s="1037"/>
      <c r="AM1197" s="1037"/>
      <c r="AN1197" s="1037"/>
      <c r="AO1197" s="1037"/>
      <c r="AP1197" s="1037"/>
    </row>
    <row r="1198" spans="1:42" s="226" customFormat="1">
      <c r="A1198" s="2060"/>
      <c r="B1198" s="1037"/>
      <c r="C1198" s="1037"/>
      <c r="D1198" s="1037"/>
      <c r="E1198" s="1037"/>
      <c r="F1198" s="1037"/>
      <c r="G1198" s="1037"/>
      <c r="H1198" s="1018"/>
      <c r="I1198" s="1037"/>
      <c r="J1198" s="1037"/>
      <c r="K1198" s="1037"/>
      <c r="L1198" s="1037"/>
      <c r="M1198" s="1037"/>
      <c r="N1198" s="1037"/>
      <c r="O1198" s="1037"/>
      <c r="P1198" s="1037"/>
      <c r="Q1198" s="1037"/>
      <c r="R1198" s="1037"/>
      <c r="S1198" s="1037"/>
      <c r="T1198" s="1037"/>
      <c r="U1198" s="1037"/>
      <c r="V1198" s="1037"/>
      <c r="W1198" s="1037"/>
      <c r="X1198" s="1037"/>
      <c r="Y1198" s="1037"/>
      <c r="Z1198" s="1037"/>
      <c r="AA1198" s="1037"/>
      <c r="AB1198" s="1037"/>
      <c r="AC1198" s="1037"/>
      <c r="AD1198" s="1037"/>
      <c r="AE1198" s="1037"/>
      <c r="AF1198" s="1037"/>
      <c r="AG1198" s="1037"/>
      <c r="AH1198" s="1037"/>
      <c r="AI1198" s="1037"/>
      <c r="AJ1198" s="1037"/>
      <c r="AK1198" s="1037"/>
      <c r="AL1198" s="1037"/>
      <c r="AM1198" s="1037"/>
      <c r="AN1198" s="1037"/>
      <c r="AO1198" s="1037"/>
      <c r="AP1198" s="1037"/>
    </row>
    <row r="1199" spans="1:42" s="226" customFormat="1">
      <c r="A1199" s="2060"/>
      <c r="B1199" s="1037"/>
      <c r="C1199" s="1037"/>
      <c r="D1199" s="1037"/>
      <c r="E1199" s="1037"/>
      <c r="F1199" s="1037"/>
      <c r="G1199" s="1037"/>
      <c r="H1199" s="1018"/>
      <c r="I1199" s="1037"/>
      <c r="J1199" s="1037"/>
      <c r="K1199" s="1037"/>
      <c r="L1199" s="1037"/>
      <c r="M1199" s="1037"/>
      <c r="N1199" s="1037"/>
      <c r="O1199" s="1037"/>
      <c r="P1199" s="1037"/>
      <c r="Q1199" s="1037"/>
      <c r="R1199" s="1037"/>
      <c r="S1199" s="1037"/>
      <c r="T1199" s="1037"/>
      <c r="U1199" s="1037"/>
      <c r="V1199" s="1037"/>
      <c r="W1199" s="1037"/>
      <c r="X1199" s="1037"/>
      <c r="Y1199" s="1037"/>
      <c r="Z1199" s="1037"/>
      <c r="AA1199" s="1037"/>
      <c r="AB1199" s="1037"/>
      <c r="AC1199" s="1037"/>
      <c r="AD1199" s="1037"/>
      <c r="AE1199" s="1037"/>
      <c r="AF1199" s="1037"/>
      <c r="AG1199" s="1037"/>
      <c r="AH1199" s="1037"/>
      <c r="AI1199" s="1037"/>
      <c r="AJ1199" s="1037"/>
      <c r="AK1199" s="1037"/>
      <c r="AL1199" s="1037"/>
      <c r="AM1199" s="1037"/>
      <c r="AN1199" s="1037"/>
      <c r="AO1199" s="1037"/>
      <c r="AP1199" s="1037"/>
    </row>
    <row r="1200" spans="1:42" s="226" customFormat="1">
      <c r="A1200" s="2060"/>
      <c r="B1200" s="1037"/>
      <c r="C1200" s="1037"/>
      <c r="D1200" s="1037"/>
      <c r="E1200" s="1037"/>
      <c r="F1200" s="1037"/>
      <c r="G1200" s="1037"/>
      <c r="H1200" s="1018"/>
      <c r="I1200" s="1037"/>
      <c r="J1200" s="1037"/>
      <c r="K1200" s="1037"/>
      <c r="L1200" s="1037"/>
      <c r="M1200" s="1037"/>
      <c r="N1200" s="1037"/>
      <c r="O1200" s="1037"/>
      <c r="P1200" s="1037"/>
      <c r="Q1200" s="1037"/>
      <c r="R1200" s="1037"/>
      <c r="S1200" s="1037"/>
      <c r="T1200" s="1037"/>
      <c r="U1200" s="1037"/>
      <c r="V1200" s="1037"/>
      <c r="W1200" s="1037"/>
      <c r="X1200" s="1037"/>
      <c r="Y1200" s="1037"/>
      <c r="Z1200" s="1037"/>
      <c r="AA1200" s="1037"/>
      <c r="AB1200" s="1037"/>
      <c r="AC1200" s="1037"/>
      <c r="AD1200" s="1037"/>
      <c r="AE1200" s="1037"/>
      <c r="AF1200" s="1037"/>
      <c r="AG1200" s="1037"/>
      <c r="AH1200" s="1037"/>
      <c r="AI1200" s="1037"/>
      <c r="AJ1200" s="1037"/>
      <c r="AK1200" s="1037"/>
      <c r="AL1200" s="1037"/>
      <c r="AM1200" s="1037"/>
      <c r="AN1200" s="1037"/>
      <c r="AO1200" s="1037"/>
      <c r="AP1200" s="1037"/>
    </row>
    <row r="1201" spans="1:42" s="226" customFormat="1">
      <c r="A1201" s="2060"/>
      <c r="B1201" s="1037"/>
      <c r="C1201" s="1037"/>
      <c r="D1201" s="1037"/>
      <c r="E1201" s="1037"/>
      <c r="F1201" s="1037"/>
      <c r="G1201" s="1037"/>
      <c r="H1201" s="1018"/>
      <c r="I1201" s="1037"/>
      <c r="J1201" s="1037"/>
      <c r="K1201" s="1037"/>
      <c r="L1201" s="1037"/>
      <c r="M1201" s="1037"/>
      <c r="N1201" s="1037"/>
      <c r="O1201" s="1037"/>
      <c r="P1201" s="1037"/>
      <c r="Q1201" s="1037"/>
      <c r="R1201" s="1037"/>
      <c r="S1201" s="1037"/>
      <c r="T1201" s="1037"/>
      <c r="U1201" s="1037"/>
      <c r="V1201" s="1037"/>
      <c r="W1201" s="1037"/>
      <c r="X1201" s="1037"/>
      <c r="Y1201" s="1037"/>
      <c r="Z1201" s="1037"/>
      <c r="AA1201" s="1037"/>
      <c r="AB1201" s="1037"/>
      <c r="AC1201" s="1037"/>
      <c r="AD1201" s="1037"/>
      <c r="AE1201" s="1037"/>
      <c r="AF1201" s="1037"/>
      <c r="AG1201" s="1037"/>
      <c r="AH1201" s="1037"/>
      <c r="AI1201" s="1037"/>
      <c r="AJ1201" s="1037"/>
      <c r="AK1201" s="1037"/>
      <c r="AL1201" s="1037"/>
      <c r="AM1201" s="1037"/>
      <c r="AN1201" s="1037"/>
      <c r="AO1201" s="1037"/>
      <c r="AP1201" s="1037"/>
    </row>
    <row r="1202" spans="1:42" s="226" customFormat="1">
      <c r="A1202" s="2060"/>
      <c r="B1202" s="1037"/>
      <c r="C1202" s="1037"/>
      <c r="D1202" s="1037"/>
      <c r="E1202" s="1037"/>
      <c r="F1202" s="1037"/>
      <c r="G1202" s="1037"/>
      <c r="H1202" s="1018"/>
      <c r="I1202" s="1037"/>
      <c r="J1202" s="1037"/>
      <c r="K1202" s="1037"/>
      <c r="L1202" s="1037"/>
      <c r="M1202" s="1037"/>
      <c r="N1202" s="1037"/>
      <c r="O1202" s="1037"/>
      <c r="P1202" s="1037"/>
      <c r="Q1202" s="1037"/>
      <c r="R1202" s="1037"/>
      <c r="S1202" s="1037"/>
      <c r="T1202" s="1037"/>
      <c r="U1202" s="1037"/>
      <c r="V1202" s="1037"/>
      <c r="W1202" s="1037"/>
      <c r="X1202" s="1037"/>
      <c r="Y1202" s="1037"/>
      <c r="Z1202" s="1037"/>
      <c r="AA1202" s="1037"/>
      <c r="AB1202" s="1037"/>
      <c r="AC1202" s="1037"/>
      <c r="AD1202" s="1037"/>
      <c r="AE1202" s="1037"/>
      <c r="AF1202" s="1037"/>
      <c r="AG1202" s="1037"/>
      <c r="AH1202" s="1037"/>
      <c r="AI1202" s="1037"/>
      <c r="AJ1202" s="1037"/>
      <c r="AK1202" s="1037"/>
      <c r="AL1202" s="1037"/>
      <c r="AM1202" s="1037"/>
      <c r="AN1202" s="1037"/>
      <c r="AO1202" s="1037"/>
      <c r="AP1202" s="1037"/>
    </row>
    <row r="1203" spans="1:42" s="226" customFormat="1">
      <c r="A1203" s="2060"/>
      <c r="B1203" s="1037"/>
      <c r="C1203" s="1037"/>
      <c r="D1203" s="1037"/>
      <c r="E1203" s="1037"/>
      <c r="F1203" s="1037"/>
      <c r="G1203" s="1037"/>
      <c r="H1203" s="1018"/>
      <c r="I1203" s="1037"/>
      <c r="J1203" s="1037"/>
      <c r="K1203" s="1037"/>
      <c r="L1203" s="1037"/>
      <c r="M1203" s="1037"/>
      <c r="N1203" s="1037"/>
      <c r="O1203" s="1037"/>
      <c r="P1203" s="1037"/>
      <c r="Q1203" s="1037"/>
      <c r="R1203" s="1037"/>
      <c r="S1203" s="1037"/>
      <c r="T1203" s="1037"/>
      <c r="U1203" s="1037"/>
      <c r="V1203" s="1037"/>
      <c r="W1203" s="1037"/>
      <c r="X1203" s="1037"/>
      <c r="Y1203" s="1037"/>
      <c r="Z1203" s="1037"/>
      <c r="AA1203" s="1037"/>
      <c r="AB1203" s="1037"/>
      <c r="AC1203" s="1037"/>
      <c r="AD1203" s="1037"/>
      <c r="AE1203" s="1037"/>
      <c r="AF1203" s="1037"/>
      <c r="AG1203" s="1037"/>
      <c r="AH1203" s="1037"/>
      <c r="AI1203" s="1037"/>
      <c r="AJ1203" s="1037"/>
      <c r="AK1203" s="1037"/>
      <c r="AL1203" s="1037"/>
      <c r="AM1203" s="1037"/>
      <c r="AN1203" s="1037"/>
      <c r="AO1203" s="1037"/>
      <c r="AP1203" s="1037"/>
    </row>
    <row r="1204" spans="1:42" s="226" customFormat="1">
      <c r="A1204" s="2060"/>
      <c r="B1204" s="1037"/>
      <c r="C1204" s="1037"/>
      <c r="D1204" s="1037"/>
      <c r="E1204" s="1037"/>
      <c r="F1204" s="1037"/>
      <c r="G1204" s="1037"/>
      <c r="H1204" s="1018"/>
      <c r="I1204" s="1037"/>
      <c r="J1204" s="1037"/>
      <c r="K1204" s="1037"/>
      <c r="L1204" s="1037"/>
      <c r="M1204" s="1037"/>
      <c r="N1204" s="1037"/>
      <c r="O1204" s="1037"/>
      <c r="P1204" s="1037"/>
      <c r="Q1204" s="1037"/>
      <c r="R1204" s="1037"/>
      <c r="S1204" s="1037"/>
      <c r="T1204" s="1037"/>
      <c r="U1204" s="1037"/>
      <c r="V1204" s="1037"/>
      <c r="W1204" s="1037"/>
      <c r="X1204" s="1037"/>
      <c r="Y1204" s="1037"/>
      <c r="Z1204" s="1037"/>
      <c r="AA1204" s="1037"/>
      <c r="AB1204" s="1037"/>
      <c r="AC1204" s="1037"/>
      <c r="AD1204" s="1037"/>
      <c r="AE1204" s="1037"/>
      <c r="AF1204" s="1037"/>
      <c r="AG1204" s="1037"/>
      <c r="AH1204" s="1037"/>
      <c r="AI1204" s="1037"/>
      <c r="AJ1204" s="1037"/>
      <c r="AK1204" s="1037"/>
      <c r="AL1204" s="1037"/>
      <c r="AM1204" s="1037"/>
      <c r="AN1204" s="1037"/>
      <c r="AO1204" s="1037"/>
      <c r="AP1204" s="1037"/>
    </row>
    <row r="1205" spans="1:42" s="226" customFormat="1">
      <c r="A1205" s="2060"/>
      <c r="B1205" s="1037"/>
      <c r="C1205" s="1037"/>
      <c r="D1205" s="1037"/>
      <c r="E1205" s="1037"/>
      <c r="F1205" s="1037"/>
      <c r="G1205" s="1037"/>
      <c r="H1205" s="1018"/>
      <c r="I1205" s="1037"/>
      <c r="J1205" s="1037"/>
      <c r="K1205" s="1037"/>
      <c r="L1205" s="1037"/>
      <c r="M1205" s="1037"/>
      <c r="N1205" s="1037"/>
      <c r="O1205" s="1037"/>
      <c r="P1205" s="1037"/>
      <c r="Q1205" s="1037"/>
      <c r="R1205" s="1037"/>
      <c r="S1205" s="1037"/>
      <c r="T1205" s="1037"/>
      <c r="U1205" s="1037"/>
      <c r="V1205" s="1037"/>
      <c r="W1205" s="1037"/>
      <c r="X1205" s="1037"/>
      <c r="Y1205" s="1037"/>
      <c r="Z1205" s="1037"/>
      <c r="AA1205" s="1037"/>
      <c r="AB1205" s="1037"/>
      <c r="AC1205" s="1037"/>
      <c r="AD1205" s="1037"/>
      <c r="AE1205" s="1037"/>
      <c r="AF1205" s="1037"/>
      <c r="AG1205" s="1037"/>
      <c r="AH1205" s="1037"/>
      <c r="AI1205" s="1037"/>
      <c r="AJ1205" s="1037"/>
      <c r="AK1205" s="1037"/>
      <c r="AL1205" s="1037"/>
      <c r="AM1205" s="1037"/>
      <c r="AN1205" s="1037"/>
      <c r="AO1205" s="1037"/>
      <c r="AP1205" s="1037"/>
    </row>
    <row r="1206" spans="1:42" s="226" customFormat="1">
      <c r="A1206" s="2060"/>
      <c r="B1206" s="1037"/>
      <c r="C1206" s="1037"/>
      <c r="D1206" s="1037"/>
      <c r="E1206" s="1037"/>
      <c r="F1206" s="1037"/>
      <c r="G1206" s="1037"/>
      <c r="H1206" s="1018"/>
      <c r="I1206" s="1037"/>
      <c r="J1206" s="1037"/>
      <c r="K1206" s="1037"/>
      <c r="L1206" s="1037"/>
      <c r="M1206" s="1037"/>
      <c r="N1206" s="1037"/>
      <c r="O1206" s="1037"/>
      <c r="P1206" s="1037"/>
      <c r="Q1206" s="1037"/>
      <c r="R1206" s="1037"/>
      <c r="S1206" s="1037"/>
      <c r="T1206" s="1037"/>
      <c r="U1206" s="1037"/>
      <c r="V1206" s="1037"/>
      <c r="W1206" s="1037"/>
      <c r="X1206" s="1037"/>
      <c r="Y1206" s="1037"/>
      <c r="Z1206" s="1037"/>
      <c r="AA1206" s="1037"/>
      <c r="AB1206" s="1037"/>
      <c r="AC1206" s="1037"/>
      <c r="AD1206" s="1037"/>
      <c r="AE1206" s="1037"/>
      <c r="AF1206" s="1037"/>
      <c r="AG1206" s="1037"/>
      <c r="AH1206" s="1037"/>
      <c r="AI1206" s="1037"/>
      <c r="AJ1206" s="1037"/>
      <c r="AK1206" s="1037"/>
      <c r="AL1206" s="1037"/>
      <c r="AM1206" s="1037"/>
      <c r="AN1206" s="1037"/>
      <c r="AO1206" s="1037"/>
      <c r="AP1206" s="1037"/>
    </row>
    <row r="1207" spans="1:42" s="226" customFormat="1">
      <c r="A1207" s="2060"/>
      <c r="B1207" s="1037"/>
      <c r="C1207" s="1037"/>
      <c r="D1207" s="1037"/>
      <c r="E1207" s="1037"/>
      <c r="F1207" s="1037"/>
      <c r="G1207" s="1037"/>
      <c r="H1207" s="1018"/>
      <c r="I1207" s="1037"/>
      <c r="J1207" s="1037"/>
      <c r="K1207" s="1037"/>
      <c r="L1207" s="1037"/>
      <c r="M1207" s="1037"/>
      <c r="N1207" s="1037"/>
      <c r="O1207" s="1037"/>
      <c r="P1207" s="1037"/>
      <c r="Q1207" s="1037"/>
      <c r="R1207" s="1037"/>
      <c r="S1207" s="1037"/>
      <c r="T1207" s="1037"/>
      <c r="U1207" s="1037"/>
      <c r="V1207" s="1037"/>
      <c r="W1207" s="1037"/>
      <c r="X1207" s="1037"/>
      <c r="Y1207" s="1037"/>
      <c r="Z1207" s="1037"/>
      <c r="AA1207" s="1037"/>
      <c r="AB1207" s="1037"/>
      <c r="AC1207" s="1037"/>
      <c r="AD1207" s="1037"/>
      <c r="AE1207" s="1037"/>
      <c r="AF1207" s="1037"/>
      <c r="AG1207" s="1037"/>
      <c r="AH1207" s="1037"/>
      <c r="AI1207" s="1037"/>
      <c r="AJ1207" s="1037"/>
      <c r="AK1207" s="1037"/>
      <c r="AL1207" s="1037"/>
      <c r="AM1207" s="1037"/>
      <c r="AN1207" s="1037"/>
      <c r="AO1207" s="1037"/>
      <c r="AP1207" s="1037"/>
    </row>
    <row r="1208" spans="1:42" s="226" customFormat="1">
      <c r="A1208" s="2060"/>
      <c r="B1208" s="1037"/>
      <c r="C1208" s="1037"/>
      <c r="D1208" s="1037"/>
      <c r="E1208" s="1037"/>
      <c r="F1208" s="1037"/>
      <c r="G1208" s="1037"/>
      <c r="H1208" s="1018"/>
      <c r="I1208" s="1037"/>
      <c r="J1208" s="1037"/>
      <c r="K1208" s="1037"/>
      <c r="L1208" s="1037"/>
      <c r="M1208" s="1037"/>
      <c r="N1208" s="1037"/>
      <c r="O1208" s="1037"/>
      <c r="P1208" s="1037"/>
      <c r="Q1208" s="1037"/>
      <c r="R1208" s="1037"/>
      <c r="S1208" s="1037"/>
      <c r="T1208" s="1037"/>
      <c r="U1208" s="1037"/>
      <c r="V1208" s="1037"/>
      <c r="W1208" s="1037"/>
      <c r="X1208" s="1037"/>
      <c r="Y1208" s="1037"/>
      <c r="Z1208" s="1037"/>
      <c r="AA1208" s="1037"/>
      <c r="AB1208" s="1037"/>
      <c r="AC1208" s="1037"/>
      <c r="AD1208" s="1037"/>
      <c r="AE1208" s="1037"/>
      <c r="AF1208" s="1037"/>
      <c r="AG1208" s="1037"/>
      <c r="AH1208" s="1037"/>
      <c r="AI1208" s="1037"/>
      <c r="AJ1208" s="1037"/>
      <c r="AK1208" s="1037"/>
      <c r="AL1208" s="1037"/>
      <c r="AM1208" s="1037"/>
      <c r="AN1208" s="1037"/>
      <c r="AO1208" s="1037"/>
      <c r="AP1208" s="1037"/>
    </row>
    <row r="1209" spans="1:42" s="226" customFormat="1">
      <c r="A1209" s="2060"/>
      <c r="B1209" s="1037"/>
      <c r="C1209" s="1037"/>
      <c r="D1209" s="1037"/>
      <c r="E1209" s="1037"/>
      <c r="F1209" s="1037"/>
      <c r="G1209" s="1037"/>
      <c r="H1209" s="1018"/>
      <c r="I1209" s="1037"/>
      <c r="J1209" s="1037"/>
      <c r="K1209" s="1037"/>
      <c r="L1209" s="1037"/>
      <c r="M1209" s="1037"/>
      <c r="N1209" s="1037"/>
      <c r="O1209" s="1037"/>
      <c r="P1209" s="1037"/>
      <c r="Q1209" s="1037"/>
      <c r="R1209" s="1037"/>
      <c r="S1209" s="1037"/>
      <c r="T1209" s="1037"/>
      <c r="U1209" s="1037"/>
      <c r="V1209" s="1037"/>
      <c r="W1209" s="1037"/>
      <c r="X1209" s="1037"/>
      <c r="Y1209" s="1037"/>
      <c r="Z1209" s="1037"/>
      <c r="AA1209" s="1037"/>
      <c r="AB1209" s="1037"/>
      <c r="AC1209" s="1037"/>
      <c r="AD1209" s="1037"/>
      <c r="AE1209" s="1037"/>
      <c r="AF1209" s="1037"/>
      <c r="AG1209" s="1037"/>
      <c r="AH1209" s="1037"/>
      <c r="AI1209" s="1037"/>
      <c r="AJ1209" s="1037"/>
      <c r="AK1209" s="1037"/>
      <c r="AL1209" s="1037"/>
      <c r="AM1209" s="1037"/>
      <c r="AN1209" s="1037"/>
      <c r="AO1209" s="1037"/>
      <c r="AP1209" s="1037"/>
    </row>
    <row r="1210" spans="1:42" s="226" customFormat="1">
      <c r="A1210" s="2060"/>
      <c r="B1210" s="1037"/>
      <c r="C1210" s="1037"/>
      <c r="D1210" s="1037"/>
      <c r="E1210" s="1037"/>
      <c r="F1210" s="1037"/>
      <c r="G1210" s="1037"/>
      <c r="H1210" s="1018"/>
      <c r="I1210" s="1037"/>
      <c r="J1210" s="1037"/>
      <c r="K1210" s="1037"/>
      <c r="L1210" s="1037"/>
      <c r="M1210" s="1037"/>
      <c r="N1210" s="1037"/>
      <c r="O1210" s="1037"/>
      <c r="P1210" s="1037"/>
      <c r="Q1210" s="1037"/>
      <c r="R1210" s="1037"/>
      <c r="S1210" s="1037"/>
      <c r="T1210" s="1037"/>
      <c r="U1210" s="1037"/>
      <c r="V1210" s="1037"/>
      <c r="W1210" s="1037"/>
      <c r="X1210" s="1037"/>
      <c r="Y1210" s="1037"/>
      <c r="Z1210" s="1037"/>
      <c r="AA1210" s="1037"/>
      <c r="AB1210" s="1037"/>
      <c r="AC1210" s="1037"/>
      <c r="AD1210" s="1037"/>
      <c r="AE1210" s="1037"/>
      <c r="AF1210" s="1037"/>
      <c r="AG1210" s="1037"/>
      <c r="AH1210" s="1037"/>
      <c r="AI1210" s="1037"/>
      <c r="AJ1210" s="1037"/>
      <c r="AK1210" s="1037"/>
      <c r="AL1210" s="1037"/>
      <c r="AM1210" s="1037"/>
      <c r="AN1210" s="1037"/>
      <c r="AO1210" s="1037"/>
      <c r="AP1210" s="1037"/>
    </row>
    <row r="1211" spans="1:42" s="226" customFormat="1">
      <c r="A1211" s="2060"/>
      <c r="B1211" s="1037"/>
      <c r="C1211" s="1037"/>
      <c r="D1211" s="1037"/>
      <c r="E1211" s="1037"/>
      <c r="F1211" s="1037"/>
      <c r="G1211" s="1037"/>
      <c r="H1211" s="1018"/>
      <c r="I1211" s="1037"/>
      <c r="J1211" s="1037"/>
      <c r="K1211" s="1037"/>
      <c r="L1211" s="1037"/>
      <c r="M1211" s="1037"/>
      <c r="N1211" s="1037"/>
      <c r="O1211" s="1037"/>
      <c r="P1211" s="1037"/>
      <c r="Q1211" s="1037"/>
      <c r="R1211" s="1037"/>
      <c r="S1211" s="1037"/>
      <c r="T1211" s="1037"/>
      <c r="U1211" s="1037"/>
      <c r="V1211" s="1037"/>
      <c r="W1211" s="1037"/>
      <c r="X1211" s="1037"/>
      <c r="Y1211" s="1037"/>
      <c r="Z1211" s="1037"/>
      <c r="AA1211" s="1037"/>
      <c r="AB1211" s="1037"/>
      <c r="AC1211" s="1037"/>
      <c r="AD1211" s="1037"/>
      <c r="AE1211" s="1037"/>
      <c r="AF1211" s="1037"/>
      <c r="AG1211" s="1037"/>
      <c r="AH1211" s="1037"/>
      <c r="AI1211" s="1037"/>
      <c r="AJ1211" s="1037"/>
      <c r="AK1211" s="1037"/>
      <c r="AL1211" s="1037"/>
      <c r="AM1211" s="1037"/>
      <c r="AN1211" s="1037"/>
      <c r="AO1211" s="1037"/>
      <c r="AP1211" s="1037"/>
    </row>
    <row r="1212" spans="1:42" s="226" customFormat="1">
      <c r="A1212" s="2060"/>
      <c r="B1212" s="1037"/>
      <c r="C1212" s="1037"/>
      <c r="D1212" s="1037"/>
      <c r="E1212" s="1037"/>
      <c r="F1212" s="1037"/>
      <c r="G1212" s="1037"/>
      <c r="H1212" s="1018"/>
      <c r="I1212" s="1037"/>
      <c r="J1212" s="1037"/>
      <c r="K1212" s="1037"/>
      <c r="L1212" s="1037"/>
      <c r="M1212" s="1037"/>
      <c r="N1212" s="1037"/>
      <c r="O1212" s="1037"/>
      <c r="P1212" s="1037"/>
      <c r="Q1212" s="1037"/>
      <c r="R1212" s="1037"/>
      <c r="S1212" s="1037"/>
      <c r="T1212" s="1037"/>
      <c r="U1212" s="1037"/>
      <c r="V1212" s="1037"/>
      <c r="W1212" s="1037"/>
      <c r="X1212" s="1037"/>
      <c r="Y1212" s="1037"/>
      <c r="Z1212" s="1037"/>
      <c r="AA1212" s="1037"/>
      <c r="AB1212" s="1037"/>
      <c r="AC1212" s="1037"/>
      <c r="AD1212" s="1037"/>
      <c r="AE1212" s="1037"/>
      <c r="AF1212" s="1037"/>
      <c r="AG1212" s="1037"/>
      <c r="AH1212" s="1037"/>
      <c r="AI1212" s="1037"/>
      <c r="AJ1212" s="1037"/>
      <c r="AK1212" s="1037"/>
      <c r="AL1212" s="1037"/>
      <c r="AM1212" s="1037"/>
      <c r="AN1212" s="1037"/>
      <c r="AO1212" s="1037"/>
      <c r="AP1212" s="1037"/>
    </row>
    <row r="1213" spans="1:42" s="226" customFormat="1">
      <c r="A1213" s="2060"/>
      <c r="B1213" s="1037"/>
      <c r="C1213" s="1037"/>
      <c r="D1213" s="1037"/>
      <c r="E1213" s="1037"/>
      <c r="F1213" s="1037"/>
      <c r="G1213" s="1037"/>
      <c r="H1213" s="1018"/>
      <c r="I1213" s="1037"/>
      <c r="J1213" s="1037"/>
      <c r="K1213" s="1037"/>
      <c r="L1213" s="1037"/>
      <c r="M1213" s="1037"/>
      <c r="N1213" s="1037"/>
      <c r="O1213" s="1037"/>
      <c r="P1213" s="1037"/>
      <c r="Q1213" s="1037"/>
      <c r="R1213" s="1037"/>
      <c r="S1213" s="1037"/>
      <c r="T1213" s="1037"/>
      <c r="U1213" s="1037"/>
      <c r="V1213" s="1037"/>
      <c r="W1213" s="1037"/>
      <c r="X1213" s="1037"/>
      <c r="Y1213" s="1037"/>
      <c r="Z1213" s="1037"/>
      <c r="AA1213" s="1037"/>
      <c r="AB1213" s="1037"/>
      <c r="AC1213" s="1037"/>
      <c r="AD1213" s="1037"/>
      <c r="AE1213" s="1037"/>
      <c r="AF1213" s="1037"/>
      <c r="AG1213" s="1037"/>
      <c r="AH1213" s="1037"/>
      <c r="AI1213" s="1037"/>
      <c r="AJ1213" s="1037"/>
      <c r="AK1213" s="1037"/>
      <c r="AL1213" s="1037"/>
      <c r="AM1213" s="1037"/>
      <c r="AN1213" s="1037"/>
      <c r="AO1213" s="1037"/>
      <c r="AP1213" s="1037"/>
    </row>
    <row r="1214" spans="1:42" s="226" customFormat="1">
      <c r="A1214" s="2060"/>
      <c r="B1214" s="1037"/>
      <c r="C1214" s="1037"/>
      <c r="D1214" s="1037"/>
      <c r="E1214" s="1037"/>
      <c r="F1214" s="1037"/>
      <c r="G1214" s="1037"/>
      <c r="H1214" s="1018"/>
      <c r="I1214" s="1037"/>
      <c r="J1214" s="1037"/>
      <c r="K1214" s="1037"/>
      <c r="L1214" s="1037"/>
      <c r="M1214" s="1037"/>
      <c r="N1214" s="1037"/>
      <c r="O1214" s="1037"/>
      <c r="P1214" s="1037"/>
      <c r="Q1214" s="1037"/>
      <c r="R1214" s="1037"/>
      <c r="S1214" s="1037"/>
      <c r="T1214" s="1037"/>
      <c r="U1214" s="1037"/>
      <c r="V1214" s="1037"/>
      <c r="W1214" s="1037"/>
      <c r="X1214" s="1037"/>
      <c r="Y1214" s="1037"/>
      <c r="Z1214" s="1037"/>
      <c r="AA1214" s="1037"/>
      <c r="AB1214" s="1037"/>
      <c r="AC1214" s="1037"/>
      <c r="AD1214" s="1037"/>
      <c r="AE1214" s="1037"/>
      <c r="AF1214" s="1037"/>
      <c r="AG1214" s="1037"/>
      <c r="AH1214" s="1037"/>
      <c r="AI1214" s="1037"/>
      <c r="AJ1214" s="1037"/>
      <c r="AK1214" s="1037"/>
      <c r="AL1214" s="1037"/>
      <c r="AM1214" s="1037"/>
      <c r="AN1214" s="1037"/>
      <c r="AO1214" s="1037"/>
      <c r="AP1214" s="1037"/>
    </row>
    <row r="1215" spans="1:42" s="226" customFormat="1">
      <c r="A1215" s="2060"/>
      <c r="B1215" s="1037"/>
      <c r="C1215" s="1037"/>
      <c r="D1215" s="1037"/>
      <c r="E1215" s="1037"/>
      <c r="F1215" s="1037"/>
      <c r="G1215" s="1037"/>
      <c r="H1215" s="1018"/>
      <c r="I1215" s="1037"/>
      <c r="J1215" s="1037"/>
      <c r="K1215" s="1037"/>
      <c r="L1215" s="1037"/>
      <c r="M1215" s="1037"/>
      <c r="N1215" s="1037"/>
      <c r="O1215" s="1037"/>
      <c r="P1215" s="1037"/>
      <c r="Q1215" s="1037"/>
      <c r="R1215" s="1037"/>
      <c r="S1215" s="1037"/>
      <c r="T1215" s="1037"/>
      <c r="U1215" s="1037"/>
      <c r="V1215" s="1037"/>
      <c r="W1215" s="1037"/>
      <c r="X1215" s="1037"/>
      <c r="Y1215" s="1037"/>
      <c r="Z1215" s="1037"/>
      <c r="AA1215" s="1037"/>
      <c r="AB1215" s="1037"/>
      <c r="AC1215" s="1037"/>
      <c r="AD1215" s="1037"/>
      <c r="AE1215" s="1037"/>
      <c r="AF1215" s="1037"/>
      <c r="AG1215" s="1037"/>
      <c r="AH1215" s="1037"/>
      <c r="AI1215" s="1037"/>
      <c r="AJ1215" s="1037"/>
      <c r="AK1215" s="1037"/>
      <c r="AL1215" s="1037"/>
      <c r="AM1215" s="1037"/>
      <c r="AN1215" s="1037"/>
      <c r="AO1215" s="1037"/>
      <c r="AP1215" s="1037"/>
    </row>
    <row r="1216" spans="1:42" s="226" customFormat="1">
      <c r="A1216" s="2060"/>
      <c r="B1216" s="1037"/>
      <c r="C1216" s="1037"/>
      <c r="D1216" s="1037"/>
      <c r="E1216" s="1037"/>
      <c r="F1216" s="1037"/>
      <c r="G1216" s="1037"/>
      <c r="H1216" s="1018"/>
      <c r="I1216" s="1037"/>
      <c r="J1216" s="1037"/>
      <c r="K1216" s="1037"/>
      <c r="L1216" s="1037"/>
      <c r="M1216" s="1037"/>
      <c r="N1216" s="1037"/>
      <c r="O1216" s="1037"/>
      <c r="P1216" s="1037"/>
      <c r="Q1216" s="1037"/>
      <c r="R1216" s="1037"/>
      <c r="S1216" s="1037"/>
      <c r="T1216" s="1037"/>
      <c r="U1216" s="1037"/>
      <c r="V1216" s="1037"/>
      <c r="W1216" s="1037"/>
      <c r="X1216" s="1037"/>
      <c r="Y1216" s="1037"/>
      <c r="Z1216" s="1037"/>
      <c r="AA1216" s="1037"/>
      <c r="AB1216" s="1037"/>
      <c r="AC1216" s="1037"/>
      <c r="AD1216" s="1037"/>
      <c r="AE1216" s="1037"/>
      <c r="AF1216" s="1037"/>
      <c r="AG1216" s="1037"/>
      <c r="AH1216" s="1037"/>
      <c r="AI1216" s="1037"/>
      <c r="AJ1216" s="1037"/>
      <c r="AK1216" s="1037"/>
      <c r="AL1216" s="1037"/>
      <c r="AM1216" s="1037"/>
      <c r="AN1216" s="1037"/>
      <c r="AO1216" s="1037"/>
      <c r="AP1216" s="1037"/>
    </row>
    <row r="1217" spans="1:42" s="226" customFormat="1">
      <c r="A1217" s="2060"/>
      <c r="B1217" s="1037"/>
      <c r="C1217" s="1037"/>
      <c r="D1217" s="1037"/>
      <c r="E1217" s="1037"/>
      <c r="F1217" s="1037"/>
      <c r="G1217" s="1037"/>
      <c r="H1217" s="1018"/>
      <c r="I1217" s="1037"/>
      <c r="J1217" s="1037"/>
      <c r="K1217" s="1037"/>
      <c r="L1217" s="1037"/>
      <c r="M1217" s="1037"/>
      <c r="N1217" s="1037"/>
      <c r="O1217" s="1037"/>
      <c r="P1217" s="1037"/>
      <c r="Q1217" s="1037"/>
      <c r="R1217" s="1037"/>
      <c r="S1217" s="1037"/>
      <c r="T1217" s="1037"/>
      <c r="U1217" s="1037"/>
      <c r="V1217" s="1037"/>
      <c r="W1217" s="1037"/>
      <c r="X1217" s="1037"/>
      <c r="Y1217" s="1037"/>
      <c r="Z1217" s="1037"/>
      <c r="AA1217" s="1037"/>
      <c r="AB1217" s="1037"/>
      <c r="AC1217" s="1037"/>
      <c r="AD1217" s="1037"/>
      <c r="AE1217" s="1037"/>
      <c r="AF1217" s="1037"/>
      <c r="AG1217" s="1037"/>
      <c r="AH1217" s="1037"/>
      <c r="AI1217" s="1037"/>
      <c r="AJ1217" s="1037"/>
      <c r="AK1217" s="1037"/>
      <c r="AL1217" s="1037"/>
      <c r="AM1217" s="1037"/>
      <c r="AN1217" s="1037"/>
      <c r="AO1217" s="1037"/>
      <c r="AP1217" s="1037"/>
    </row>
    <row r="1218" spans="1:42" s="226" customFormat="1">
      <c r="A1218" s="2060"/>
      <c r="B1218" s="1037"/>
      <c r="C1218" s="1037"/>
      <c r="D1218" s="1037"/>
      <c r="E1218" s="1037"/>
      <c r="F1218" s="1037"/>
      <c r="G1218" s="1037"/>
      <c r="H1218" s="1018"/>
      <c r="I1218" s="1037"/>
      <c r="J1218" s="1037"/>
      <c r="K1218" s="1037"/>
      <c r="L1218" s="1037"/>
      <c r="M1218" s="1037"/>
      <c r="N1218" s="1037"/>
      <c r="O1218" s="1037"/>
      <c r="P1218" s="1037"/>
      <c r="Q1218" s="1037"/>
      <c r="R1218" s="1037"/>
      <c r="S1218" s="1037"/>
      <c r="T1218" s="1037"/>
      <c r="U1218" s="1037"/>
      <c r="V1218" s="1037"/>
      <c r="W1218" s="1037"/>
      <c r="X1218" s="1037"/>
      <c r="Y1218" s="1037"/>
      <c r="Z1218" s="1037"/>
      <c r="AA1218" s="1037"/>
      <c r="AB1218" s="1037"/>
      <c r="AC1218" s="1037"/>
      <c r="AD1218" s="1037"/>
      <c r="AE1218" s="1037"/>
      <c r="AF1218" s="1037"/>
      <c r="AG1218" s="1037"/>
      <c r="AH1218" s="1037"/>
      <c r="AI1218" s="1037"/>
      <c r="AJ1218" s="1037"/>
      <c r="AK1218" s="1037"/>
      <c r="AL1218" s="1037"/>
      <c r="AM1218" s="1037"/>
      <c r="AN1218" s="1037"/>
      <c r="AO1218" s="1037"/>
      <c r="AP1218" s="1037"/>
    </row>
    <row r="1219" spans="1:42" s="226" customFormat="1">
      <c r="A1219" s="2060"/>
      <c r="B1219" s="1037"/>
      <c r="C1219" s="1037"/>
      <c r="D1219" s="1037"/>
      <c r="E1219" s="1037"/>
      <c r="F1219" s="1037"/>
      <c r="G1219" s="1037"/>
      <c r="H1219" s="1018"/>
      <c r="I1219" s="1037"/>
      <c r="J1219" s="1037"/>
      <c r="K1219" s="1037"/>
      <c r="L1219" s="1037"/>
      <c r="M1219" s="1037"/>
      <c r="N1219" s="1037"/>
      <c r="O1219" s="1037"/>
      <c r="P1219" s="1037"/>
      <c r="Q1219" s="1037"/>
      <c r="R1219" s="1037"/>
      <c r="S1219" s="1037"/>
      <c r="T1219" s="1037"/>
      <c r="U1219" s="1037"/>
      <c r="V1219" s="1037"/>
      <c r="W1219" s="1037"/>
      <c r="X1219" s="1037"/>
      <c r="Y1219" s="1037"/>
      <c r="Z1219" s="1037"/>
      <c r="AA1219" s="1037"/>
      <c r="AB1219" s="1037"/>
      <c r="AC1219" s="1037"/>
      <c r="AD1219" s="1037"/>
      <c r="AE1219" s="1037"/>
      <c r="AF1219" s="1037"/>
      <c r="AG1219" s="1037"/>
      <c r="AH1219" s="1037"/>
      <c r="AI1219" s="1037"/>
      <c r="AJ1219" s="1037"/>
      <c r="AK1219" s="1037"/>
      <c r="AL1219" s="1037"/>
      <c r="AM1219" s="1037"/>
      <c r="AN1219" s="1037"/>
      <c r="AO1219" s="1037"/>
      <c r="AP1219" s="1037"/>
    </row>
    <row r="1220" spans="1:42" s="226" customFormat="1">
      <c r="A1220" s="2060"/>
      <c r="B1220" s="1037"/>
      <c r="C1220" s="1037"/>
      <c r="D1220" s="1037"/>
      <c r="E1220" s="1037"/>
      <c r="F1220" s="1037"/>
      <c r="G1220" s="1037"/>
      <c r="H1220" s="1018"/>
      <c r="I1220" s="1037"/>
      <c r="J1220" s="1037"/>
      <c r="K1220" s="1037"/>
      <c r="L1220" s="1037"/>
      <c r="M1220" s="1037"/>
      <c r="N1220" s="1037"/>
      <c r="O1220" s="1037"/>
      <c r="P1220" s="1037"/>
      <c r="Q1220" s="1037"/>
      <c r="R1220" s="1037"/>
      <c r="S1220" s="1037"/>
      <c r="T1220" s="1037"/>
      <c r="U1220" s="1037"/>
      <c r="V1220" s="1037"/>
      <c r="W1220" s="1037"/>
      <c r="X1220" s="1037"/>
      <c r="Y1220" s="1037"/>
      <c r="Z1220" s="1037"/>
      <c r="AA1220" s="1037"/>
      <c r="AB1220" s="1037"/>
      <c r="AC1220" s="1037"/>
      <c r="AD1220" s="1037"/>
      <c r="AE1220" s="1037"/>
      <c r="AF1220" s="1037"/>
      <c r="AG1220" s="1037"/>
      <c r="AH1220" s="1037"/>
      <c r="AI1220" s="1037"/>
      <c r="AJ1220" s="1037"/>
      <c r="AK1220" s="1037"/>
      <c r="AL1220" s="1037"/>
      <c r="AM1220" s="1037"/>
      <c r="AN1220" s="1037"/>
      <c r="AO1220" s="1037"/>
      <c r="AP1220" s="1037"/>
    </row>
    <row r="1221" spans="1:42" s="226" customFormat="1">
      <c r="A1221" s="2060"/>
      <c r="B1221" s="1037"/>
      <c r="C1221" s="1037"/>
      <c r="D1221" s="1037"/>
      <c r="E1221" s="1037"/>
      <c r="F1221" s="1037"/>
      <c r="G1221" s="1037"/>
      <c r="H1221" s="1018"/>
      <c r="I1221" s="1037"/>
      <c r="J1221" s="1037"/>
      <c r="K1221" s="1037"/>
      <c r="L1221" s="1037"/>
      <c r="M1221" s="1037"/>
      <c r="N1221" s="1037"/>
      <c r="O1221" s="1037"/>
      <c r="P1221" s="1037"/>
      <c r="Q1221" s="1037"/>
      <c r="R1221" s="1037"/>
      <c r="S1221" s="1037"/>
      <c r="T1221" s="1037"/>
      <c r="U1221" s="1037"/>
      <c r="V1221" s="1037"/>
      <c r="W1221" s="1037"/>
      <c r="X1221" s="1037"/>
      <c r="Y1221" s="1037"/>
      <c r="Z1221" s="1037"/>
      <c r="AA1221" s="1037"/>
      <c r="AB1221" s="1037"/>
      <c r="AC1221" s="1037"/>
      <c r="AD1221" s="1037"/>
      <c r="AE1221" s="1037"/>
      <c r="AF1221" s="1037"/>
      <c r="AG1221" s="1037"/>
      <c r="AH1221" s="1037"/>
      <c r="AI1221" s="1037"/>
      <c r="AJ1221" s="1037"/>
      <c r="AK1221" s="1037"/>
      <c r="AL1221" s="1037"/>
      <c r="AM1221" s="1037"/>
      <c r="AN1221" s="1037"/>
      <c r="AO1221" s="1037"/>
      <c r="AP1221" s="1037"/>
    </row>
    <row r="1222" spans="1:42" s="226" customFormat="1">
      <c r="A1222" s="2060"/>
      <c r="B1222" s="1037"/>
      <c r="C1222" s="1037"/>
      <c r="D1222" s="1037"/>
      <c r="E1222" s="1037"/>
      <c r="F1222" s="1037"/>
      <c r="G1222" s="1037"/>
      <c r="H1222" s="1018"/>
      <c r="I1222" s="1037"/>
      <c r="J1222" s="1037"/>
      <c r="K1222" s="1037"/>
      <c r="L1222" s="1037"/>
      <c r="M1222" s="1037"/>
      <c r="N1222" s="1037"/>
      <c r="O1222" s="1037"/>
      <c r="P1222" s="1037"/>
      <c r="Q1222" s="1037"/>
      <c r="R1222" s="1037"/>
      <c r="S1222" s="1037"/>
      <c r="T1222" s="1037"/>
      <c r="U1222" s="1037"/>
      <c r="V1222" s="1037"/>
      <c r="W1222" s="1037"/>
      <c r="X1222" s="1037"/>
      <c r="Y1222" s="1037"/>
      <c r="Z1222" s="1037"/>
      <c r="AA1222" s="1037"/>
      <c r="AB1222" s="1037"/>
      <c r="AC1222" s="1037"/>
      <c r="AD1222" s="1037"/>
      <c r="AE1222" s="1037"/>
      <c r="AF1222" s="1037"/>
      <c r="AG1222" s="1037"/>
      <c r="AH1222" s="1037"/>
      <c r="AI1222" s="1037"/>
      <c r="AJ1222" s="1037"/>
      <c r="AK1222" s="1037"/>
      <c r="AL1222" s="1037"/>
      <c r="AM1222" s="1037"/>
      <c r="AN1222" s="1037"/>
      <c r="AO1222" s="1037"/>
      <c r="AP1222" s="1037"/>
    </row>
    <row r="1223" spans="1:42" s="226" customFormat="1">
      <c r="A1223" s="2060"/>
      <c r="B1223" s="1037"/>
      <c r="C1223" s="1037"/>
      <c r="D1223" s="1037"/>
      <c r="E1223" s="1037"/>
      <c r="F1223" s="1037"/>
      <c r="G1223" s="1037"/>
      <c r="H1223" s="1018"/>
      <c r="I1223" s="1037"/>
      <c r="J1223" s="1037"/>
      <c r="K1223" s="1037"/>
      <c r="L1223" s="1037"/>
      <c r="M1223" s="1037"/>
      <c r="N1223" s="1037"/>
      <c r="O1223" s="1037"/>
      <c r="P1223" s="1037"/>
      <c r="Q1223" s="1037"/>
      <c r="R1223" s="1037"/>
      <c r="S1223" s="1037"/>
      <c r="T1223" s="1037"/>
      <c r="U1223" s="1037"/>
      <c r="V1223" s="1037"/>
      <c r="W1223" s="1037"/>
      <c r="X1223" s="1037"/>
      <c r="Y1223" s="1037"/>
      <c r="Z1223" s="1037"/>
      <c r="AA1223" s="1037"/>
      <c r="AB1223" s="1037"/>
      <c r="AC1223" s="1037"/>
      <c r="AD1223" s="1037"/>
      <c r="AE1223" s="1037"/>
      <c r="AF1223" s="1037"/>
      <c r="AG1223" s="1037"/>
      <c r="AH1223" s="1037"/>
      <c r="AI1223" s="1037"/>
      <c r="AJ1223" s="1037"/>
      <c r="AK1223" s="1037"/>
      <c r="AL1223" s="1037"/>
      <c r="AM1223" s="1037"/>
      <c r="AN1223" s="1037"/>
      <c r="AO1223" s="1037"/>
      <c r="AP1223" s="1037"/>
    </row>
    <row r="1224" spans="1:42" s="226" customFormat="1">
      <c r="A1224" s="2060"/>
      <c r="B1224" s="1037"/>
      <c r="C1224" s="1037"/>
      <c r="D1224" s="1037"/>
      <c r="E1224" s="1037"/>
      <c r="F1224" s="1037"/>
      <c r="G1224" s="1037"/>
      <c r="H1224" s="1018"/>
      <c r="I1224" s="1037"/>
      <c r="J1224" s="1037"/>
      <c r="K1224" s="1037"/>
      <c r="L1224" s="1037"/>
      <c r="M1224" s="1037"/>
      <c r="N1224" s="1037"/>
      <c r="O1224" s="1037"/>
      <c r="P1224" s="1037"/>
      <c r="Q1224" s="1037"/>
      <c r="R1224" s="1037"/>
      <c r="S1224" s="1037"/>
      <c r="T1224" s="1037"/>
      <c r="U1224" s="1037"/>
      <c r="V1224" s="1037"/>
      <c r="W1224" s="1037"/>
      <c r="X1224" s="1037"/>
      <c r="Y1224" s="1037"/>
      <c r="Z1224" s="1037"/>
      <c r="AA1224" s="1037"/>
      <c r="AB1224" s="1037"/>
      <c r="AC1224" s="1037"/>
      <c r="AD1224" s="1037"/>
      <c r="AE1224" s="1037"/>
      <c r="AF1224" s="1037"/>
      <c r="AG1224" s="1037"/>
      <c r="AH1224" s="1037"/>
      <c r="AI1224" s="1037"/>
      <c r="AJ1224" s="1037"/>
      <c r="AK1224" s="1037"/>
      <c r="AL1224" s="1037"/>
      <c r="AM1224" s="1037"/>
      <c r="AN1224" s="1037"/>
      <c r="AO1224" s="1037"/>
      <c r="AP1224" s="1037"/>
    </row>
    <row r="1225" spans="1:42" s="226" customFormat="1">
      <c r="A1225" s="2060"/>
      <c r="B1225" s="1037"/>
      <c r="C1225" s="1037"/>
      <c r="D1225" s="1037"/>
      <c r="E1225" s="1037"/>
      <c r="F1225" s="1037"/>
      <c r="G1225" s="1037"/>
      <c r="H1225" s="1018"/>
      <c r="I1225" s="1037"/>
      <c r="J1225" s="1037"/>
      <c r="K1225" s="1037"/>
      <c r="L1225" s="1037"/>
      <c r="M1225" s="1037"/>
      <c r="N1225" s="1037"/>
      <c r="O1225" s="1037"/>
      <c r="P1225" s="1037"/>
      <c r="Q1225" s="1037"/>
      <c r="R1225" s="1037"/>
      <c r="S1225" s="1037"/>
      <c r="T1225" s="1037"/>
      <c r="U1225" s="1037"/>
      <c r="V1225" s="1037"/>
      <c r="W1225" s="1037"/>
      <c r="X1225" s="1037"/>
      <c r="Y1225" s="1037"/>
      <c r="Z1225" s="1037"/>
      <c r="AA1225" s="1037"/>
      <c r="AB1225" s="1037"/>
      <c r="AC1225" s="1037"/>
      <c r="AD1225" s="1037"/>
      <c r="AE1225" s="1037"/>
      <c r="AF1225" s="1037"/>
      <c r="AG1225" s="1037"/>
      <c r="AH1225" s="1037"/>
      <c r="AI1225" s="1037"/>
      <c r="AJ1225" s="1037"/>
      <c r="AK1225" s="1037"/>
      <c r="AL1225" s="1037"/>
      <c r="AM1225" s="1037"/>
      <c r="AN1225" s="1037"/>
      <c r="AO1225" s="1037"/>
      <c r="AP1225" s="1037"/>
    </row>
    <row r="1226" spans="1:42" s="226" customFormat="1">
      <c r="A1226" s="2060"/>
      <c r="B1226" s="1037"/>
      <c r="C1226" s="1037"/>
      <c r="D1226" s="1037"/>
      <c r="E1226" s="1037"/>
      <c r="F1226" s="1037"/>
      <c r="G1226" s="1037"/>
      <c r="H1226" s="1018"/>
      <c r="I1226" s="1037"/>
      <c r="J1226" s="1037"/>
      <c r="K1226" s="1037"/>
      <c r="L1226" s="1037"/>
      <c r="M1226" s="1037"/>
      <c r="N1226" s="1037"/>
      <c r="O1226" s="1037"/>
      <c r="P1226" s="1037"/>
      <c r="Q1226" s="1037"/>
      <c r="R1226" s="1037"/>
      <c r="S1226" s="1037"/>
      <c r="T1226" s="1037"/>
      <c r="U1226" s="1037"/>
      <c r="V1226" s="1037"/>
      <c r="W1226" s="1037"/>
      <c r="X1226" s="1037"/>
      <c r="Y1226" s="1037"/>
      <c r="Z1226" s="1037"/>
      <c r="AA1226" s="1037"/>
      <c r="AB1226" s="1037"/>
      <c r="AC1226" s="1037"/>
      <c r="AD1226" s="1037"/>
      <c r="AE1226" s="1037"/>
      <c r="AF1226" s="1037"/>
      <c r="AG1226" s="1037"/>
      <c r="AH1226" s="1037"/>
      <c r="AI1226" s="1037"/>
      <c r="AJ1226" s="1037"/>
      <c r="AK1226" s="1037"/>
      <c r="AL1226" s="1037"/>
      <c r="AM1226" s="1037"/>
      <c r="AN1226" s="1037"/>
      <c r="AO1226" s="1037"/>
      <c r="AP1226" s="1037"/>
    </row>
    <row r="1227" spans="1:42" s="226" customFormat="1">
      <c r="A1227" s="2060"/>
      <c r="B1227" s="1037"/>
      <c r="C1227" s="1037"/>
      <c r="D1227" s="1037"/>
      <c r="E1227" s="1037"/>
      <c r="F1227" s="1037"/>
      <c r="G1227" s="1037"/>
      <c r="H1227" s="1018"/>
      <c r="I1227" s="1037"/>
      <c r="J1227" s="1037"/>
      <c r="K1227" s="1037"/>
      <c r="L1227" s="1037"/>
      <c r="M1227" s="1037"/>
      <c r="N1227" s="1037"/>
      <c r="O1227" s="1037"/>
      <c r="P1227" s="1037"/>
      <c r="Q1227" s="1037"/>
      <c r="R1227" s="1037"/>
      <c r="S1227" s="1037"/>
      <c r="T1227" s="1037"/>
      <c r="U1227" s="1037"/>
      <c r="V1227" s="1037"/>
      <c r="W1227" s="1037"/>
      <c r="X1227" s="1037"/>
      <c r="Y1227" s="1037"/>
      <c r="Z1227" s="1037"/>
      <c r="AA1227" s="1037"/>
      <c r="AB1227" s="1037"/>
      <c r="AC1227" s="1037"/>
      <c r="AD1227" s="1037"/>
      <c r="AE1227" s="1037"/>
      <c r="AF1227" s="1037"/>
      <c r="AG1227" s="1037"/>
      <c r="AH1227" s="1037"/>
      <c r="AI1227" s="1037"/>
      <c r="AJ1227" s="1037"/>
      <c r="AK1227" s="1037"/>
      <c r="AL1227" s="1037"/>
      <c r="AM1227" s="1037"/>
      <c r="AN1227" s="1037"/>
      <c r="AO1227" s="1037"/>
      <c r="AP1227" s="1037"/>
    </row>
    <row r="1228" spans="1:42" s="226" customFormat="1">
      <c r="A1228" s="2060"/>
      <c r="B1228" s="1037"/>
      <c r="C1228" s="1037"/>
      <c r="D1228" s="1037"/>
      <c r="E1228" s="1037"/>
      <c r="F1228" s="1037"/>
      <c r="G1228" s="1037"/>
      <c r="H1228" s="1018"/>
      <c r="I1228" s="1037"/>
      <c r="J1228" s="1037"/>
      <c r="K1228" s="1037"/>
      <c r="L1228" s="1037"/>
      <c r="M1228" s="1037"/>
      <c r="N1228" s="1037"/>
      <c r="O1228" s="1037"/>
      <c r="P1228" s="1037"/>
      <c r="Q1228" s="1037"/>
      <c r="R1228" s="1037"/>
      <c r="S1228" s="1037"/>
      <c r="T1228" s="1037"/>
      <c r="U1228" s="1037"/>
      <c r="V1228" s="1037"/>
      <c r="W1228" s="1037"/>
      <c r="X1228" s="1037"/>
      <c r="Y1228" s="1037"/>
      <c r="Z1228" s="1037"/>
      <c r="AA1228" s="1037"/>
      <c r="AB1228" s="1037"/>
      <c r="AC1228" s="1037"/>
      <c r="AD1228" s="1037"/>
      <c r="AE1228" s="1037"/>
      <c r="AF1228" s="1037"/>
      <c r="AG1228" s="1037"/>
      <c r="AH1228" s="1037"/>
      <c r="AI1228" s="1037"/>
      <c r="AJ1228" s="1037"/>
      <c r="AK1228" s="1037"/>
      <c r="AL1228" s="1037"/>
      <c r="AM1228" s="1037"/>
      <c r="AN1228" s="1037"/>
      <c r="AO1228" s="1037"/>
      <c r="AP1228" s="1037"/>
    </row>
    <row r="1229" spans="1:42" s="226" customFormat="1">
      <c r="A1229" s="2060"/>
      <c r="B1229" s="1037"/>
      <c r="C1229" s="1037"/>
      <c r="D1229" s="1037"/>
      <c r="E1229" s="1037"/>
      <c r="F1229" s="1037"/>
      <c r="G1229" s="1037"/>
      <c r="H1229" s="1018"/>
      <c r="I1229" s="1037"/>
      <c r="J1229" s="1037"/>
      <c r="K1229" s="1037"/>
      <c r="L1229" s="1037"/>
      <c r="M1229" s="1037"/>
      <c r="N1229" s="1037"/>
      <c r="O1229" s="1037"/>
      <c r="P1229" s="1037"/>
      <c r="Q1229" s="1037"/>
      <c r="R1229" s="1037"/>
      <c r="S1229" s="1037"/>
      <c r="T1229" s="1037"/>
      <c r="U1229" s="1037"/>
      <c r="V1229" s="1037"/>
      <c r="W1229" s="1037"/>
      <c r="X1229" s="1037"/>
      <c r="Y1229" s="1037"/>
      <c r="Z1229" s="1037"/>
      <c r="AA1229" s="1037"/>
      <c r="AB1229" s="1037"/>
      <c r="AC1229" s="1037"/>
      <c r="AD1229" s="1037"/>
      <c r="AE1229" s="1037"/>
      <c r="AF1229" s="1037"/>
      <c r="AG1229" s="1037"/>
      <c r="AH1229" s="1037"/>
      <c r="AI1229" s="1037"/>
      <c r="AJ1229" s="1037"/>
      <c r="AK1229" s="1037"/>
      <c r="AL1229" s="1037"/>
      <c r="AM1229" s="1037"/>
      <c r="AN1229" s="1037"/>
      <c r="AO1229" s="1037"/>
      <c r="AP1229" s="1037"/>
    </row>
    <row r="1230" spans="1:42" s="226" customFormat="1">
      <c r="A1230" s="2060"/>
      <c r="B1230" s="1037"/>
      <c r="C1230" s="1037"/>
      <c r="D1230" s="1037"/>
      <c r="E1230" s="1037"/>
      <c r="F1230" s="1037"/>
      <c r="G1230" s="1037"/>
      <c r="H1230" s="1018"/>
      <c r="I1230" s="1037"/>
      <c r="J1230" s="1037"/>
      <c r="K1230" s="1037"/>
      <c r="L1230" s="1037"/>
      <c r="M1230" s="1037"/>
      <c r="N1230" s="1037"/>
      <c r="O1230" s="1037"/>
      <c r="P1230" s="1037"/>
      <c r="Q1230" s="1037"/>
      <c r="R1230" s="1037"/>
      <c r="S1230" s="1037"/>
      <c r="T1230" s="1037"/>
      <c r="U1230" s="1037"/>
      <c r="V1230" s="1037"/>
      <c r="W1230" s="1037"/>
      <c r="X1230" s="1037"/>
      <c r="Y1230" s="1037"/>
      <c r="Z1230" s="1037"/>
      <c r="AA1230" s="1037"/>
      <c r="AB1230" s="1037"/>
      <c r="AC1230" s="1037"/>
      <c r="AD1230" s="1037"/>
      <c r="AE1230" s="1037"/>
      <c r="AF1230" s="1037"/>
      <c r="AG1230" s="1037"/>
      <c r="AH1230" s="1037"/>
      <c r="AI1230" s="1037"/>
      <c r="AJ1230" s="1037"/>
      <c r="AK1230" s="1037"/>
      <c r="AL1230" s="1037"/>
      <c r="AM1230" s="1037"/>
      <c r="AN1230" s="1037"/>
      <c r="AO1230" s="1037"/>
      <c r="AP1230" s="1037"/>
    </row>
    <row r="1231" spans="1:42" s="226" customFormat="1">
      <c r="A1231" s="2060"/>
      <c r="B1231" s="1037"/>
      <c r="C1231" s="1037"/>
      <c r="D1231" s="1037"/>
      <c r="E1231" s="1037"/>
      <c r="F1231" s="1037"/>
      <c r="G1231" s="1037"/>
      <c r="H1231" s="1018"/>
      <c r="I1231" s="1037"/>
      <c r="J1231" s="1037"/>
      <c r="K1231" s="1037"/>
      <c r="L1231" s="1037"/>
      <c r="M1231" s="1037"/>
      <c r="N1231" s="1037"/>
      <c r="O1231" s="1037"/>
      <c r="P1231" s="1037"/>
      <c r="Q1231" s="1037"/>
      <c r="R1231" s="1037"/>
      <c r="S1231" s="1037"/>
      <c r="T1231" s="1037"/>
      <c r="U1231" s="1037"/>
      <c r="V1231" s="1037"/>
      <c r="W1231" s="1037"/>
      <c r="X1231" s="1037"/>
      <c r="Y1231" s="1037"/>
      <c r="Z1231" s="1037"/>
      <c r="AA1231" s="1037"/>
      <c r="AB1231" s="1037"/>
      <c r="AC1231" s="1037"/>
      <c r="AD1231" s="1037"/>
      <c r="AE1231" s="1037"/>
      <c r="AF1231" s="1037"/>
      <c r="AG1231" s="1037"/>
      <c r="AH1231" s="1037"/>
      <c r="AI1231" s="1037"/>
      <c r="AJ1231" s="1037"/>
      <c r="AK1231" s="1037"/>
      <c r="AL1231" s="1037"/>
      <c r="AM1231" s="1037"/>
      <c r="AN1231" s="1037"/>
      <c r="AO1231" s="1037"/>
      <c r="AP1231" s="1037"/>
    </row>
    <row r="1232" spans="1:42" s="226" customFormat="1">
      <c r="A1232" s="2060"/>
      <c r="B1232" s="1037"/>
      <c r="C1232" s="1037"/>
      <c r="D1232" s="1037"/>
      <c r="E1232" s="1037"/>
      <c r="F1232" s="1037"/>
      <c r="G1232" s="1037"/>
      <c r="H1232" s="1018"/>
      <c r="I1232" s="1037"/>
      <c r="J1232" s="1037"/>
      <c r="K1232" s="1037"/>
      <c r="L1232" s="1037"/>
      <c r="M1232" s="1037"/>
      <c r="N1232" s="1037"/>
      <c r="O1232" s="1037"/>
      <c r="P1232" s="1037"/>
      <c r="Q1232" s="1037"/>
      <c r="R1232" s="1037"/>
      <c r="S1232" s="1037"/>
      <c r="T1232" s="1037"/>
      <c r="U1232" s="1037"/>
      <c r="V1232" s="1037"/>
      <c r="W1232" s="1037"/>
      <c r="X1232" s="1037"/>
      <c r="Y1232" s="1037"/>
      <c r="Z1232" s="1037"/>
      <c r="AA1232" s="1037"/>
      <c r="AB1232" s="1037"/>
      <c r="AC1232" s="1037"/>
      <c r="AD1232" s="1037"/>
      <c r="AE1232" s="1037"/>
      <c r="AF1232" s="1037"/>
      <c r="AG1232" s="1037"/>
      <c r="AH1232" s="1037"/>
      <c r="AI1232" s="1037"/>
      <c r="AJ1232" s="1037"/>
      <c r="AK1232" s="1037"/>
      <c r="AL1232" s="1037"/>
      <c r="AM1232" s="1037"/>
      <c r="AN1232" s="1037"/>
      <c r="AO1232" s="1037"/>
      <c r="AP1232" s="1037"/>
    </row>
    <row r="1233" spans="1:42" s="226" customFormat="1">
      <c r="A1233" s="2060"/>
      <c r="B1233" s="1037"/>
      <c r="C1233" s="1037"/>
      <c r="D1233" s="1037"/>
      <c r="E1233" s="1037"/>
      <c r="F1233" s="1037"/>
      <c r="G1233" s="1037"/>
      <c r="H1233" s="1018"/>
      <c r="I1233" s="1037"/>
      <c r="J1233" s="1037"/>
      <c r="K1233" s="1037"/>
      <c r="L1233" s="1037"/>
      <c r="M1233" s="1037"/>
      <c r="N1233" s="1037"/>
      <c r="O1233" s="1037"/>
      <c r="P1233" s="1037"/>
      <c r="Q1233" s="1037"/>
      <c r="R1233" s="1037"/>
      <c r="S1233" s="1037"/>
      <c r="T1233" s="1037"/>
      <c r="U1233" s="1037"/>
      <c r="V1233" s="1037"/>
      <c r="W1233" s="1037"/>
      <c r="X1233" s="1037"/>
      <c r="Y1233" s="1037"/>
      <c r="Z1233" s="1037"/>
      <c r="AA1233" s="1037"/>
      <c r="AB1233" s="1037"/>
      <c r="AC1233" s="1037"/>
      <c r="AD1233" s="1037"/>
      <c r="AE1233" s="1037"/>
      <c r="AF1233" s="1037"/>
      <c r="AG1233" s="1037"/>
      <c r="AH1233" s="1037"/>
      <c r="AI1233" s="1037"/>
      <c r="AJ1233" s="1037"/>
      <c r="AK1233" s="1037"/>
      <c r="AL1233" s="1037"/>
      <c r="AM1233" s="1037"/>
      <c r="AN1233" s="1037"/>
      <c r="AO1233" s="1037"/>
      <c r="AP1233" s="1037"/>
    </row>
    <row r="1234" spans="1:42" s="226" customFormat="1">
      <c r="A1234" s="2060"/>
      <c r="B1234" s="1037"/>
      <c r="C1234" s="1037"/>
      <c r="D1234" s="1037"/>
      <c r="E1234" s="1037"/>
      <c r="F1234" s="1037"/>
      <c r="G1234" s="1037"/>
      <c r="H1234" s="1018"/>
      <c r="I1234" s="1037"/>
      <c r="J1234" s="1037"/>
      <c r="K1234" s="1037"/>
      <c r="L1234" s="1037"/>
      <c r="M1234" s="1037"/>
      <c r="N1234" s="1037"/>
      <c r="O1234" s="1037"/>
      <c r="P1234" s="1037"/>
      <c r="Q1234" s="1037"/>
      <c r="R1234" s="1037"/>
      <c r="S1234" s="1037"/>
      <c r="T1234" s="1037"/>
      <c r="U1234" s="1037"/>
      <c r="V1234" s="1037"/>
      <c r="W1234" s="1037"/>
      <c r="X1234" s="1037"/>
      <c r="Y1234" s="1037"/>
      <c r="Z1234" s="1037"/>
      <c r="AA1234" s="1037"/>
      <c r="AB1234" s="1037"/>
      <c r="AC1234" s="1037"/>
      <c r="AD1234" s="1037"/>
      <c r="AE1234" s="1037"/>
      <c r="AF1234" s="1037"/>
      <c r="AG1234" s="1037"/>
      <c r="AH1234" s="1037"/>
      <c r="AI1234" s="1037"/>
      <c r="AJ1234" s="1037"/>
      <c r="AK1234" s="1037"/>
      <c r="AL1234" s="1037"/>
      <c r="AM1234" s="1037"/>
      <c r="AN1234" s="1037"/>
      <c r="AO1234" s="1037"/>
      <c r="AP1234" s="1037"/>
    </row>
    <row r="1235" spans="1:42" s="226" customFormat="1">
      <c r="A1235" s="2060"/>
      <c r="B1235" s="1037"/>
      <c r="C1235" s="1037"/>
      <c r="D1235" s="1037"/>
      <c r="E1235" s="1037"/>
      <c r="F1235" s="1037"/>
      <c r="G1235" s="1037"/>
      <c r="H1235" s="1018"/>
      <c r="I1235" s="1037"/>
      <c r="J1235" s="1037"/>
      <c r="K1235" s="1037"/>
      <c r="L1235" s="1037"/>
      <c r="M1235" s="1037"/>
      <c r="N1235" s="1037"/>
      <c r="O1235" s="1037"/>
      <c r="P1235" s="1037"/>
      <c r="Q1235" s="1037"/>
      <c r="R1235" s="1037"/>
      <c r="S1235" s="1037"/>
      <c r="T1235" s="1037"/>
      <c r="U1235" s="1037"/>
      <c r="V1235" s="1037"/>
      <c r="W1235" s="1037"/>
      <c r="X1235" s="1037"/>
      <c r="Y1235" s="1037"/>
      <c r="Z1235" s="1037"/>
      <c r="AA1235" s="1037"/>
      <c r="AB1235" s="1037"/>
      <c r="AC1235" s="1037"/>
      <c r="AD1235" s="1037"/>
      <c r="AE1235" s="1037"/>
      <c r="AF1235" s="1037"/>
      <c r="AG1235" s="1037"/>
      <c r="AH1235" s="1037"/>
      <c r="AI1235" s="1037"/>
      <c r="AJ1235" s="1037"/>
      <c r="AK1235" s="1037"/>
      <c r="AL1235" s="1037"/>
      <c r="AM1235" s="1037"/>
      <c r="AN1235" s="1037"/>
      <c r="AO1235" s="1037"/>
      <c r="AP1235" s="1037"/>
    </row>
    <row r="1236" spans="1:42" s="226" customFormat="1">
      <c r="A1236" s="2060"/>
      <c r="B1236" s="1037"/>
      <c r="C1236" s="1037"/>
      <c r="D1236" s="1037"/>
      <c r="E1236" s="1037"/>
      <c r="F1236" s="1037"/>
      <c r="G1236" s="1037"/>
      <c r="H1236" s="1018"/>
      <c r="I1236" s="1037"/>
      <c r="J1236" s="1037"/>
      <c r="K1236" s="1037"/>
      <c r="L1236" s="1037"/>
      <c r="M1236" s="1037"/>
      <c r="N1236" s="1037"/>
      <c r="O1236" s="1037"/>
      <c r="P1236" s="1037"/>
      <c r="Q1236" s="1037"/>
      <c r="R1236" s="1037"/>
      <c r="S1236" s="1037"/>
      <c r="T1236" s="1037"/>
      <c r="U1236" s="1037"/>
      <c r="V1236" s="1037"/>
      <c r="W1236" s="1037"/>
      <c r="X1236" s="1037"/>
      <c r="Y1236" s="1037"/>
      <c r="Z1236" s="1037"/>
      <c r="AA1236" s="1037"/>
      <c r="AB1236" s="1037"/>
      <c r="AC1236" s="1037"/>
      <c r="AD1236" s="1037"/>
      <c r="AE1236" s="1037"/>
      <c r="AF1236" s="1037"/>
      <c r="AG1236" s="1037"/>
      <c r="AH1236" s="1037"/>
      <c r="AI1236" s="1037"/>
      <c r="AJ1236" s="1037"/>
      <c r="AK1236" s="1037"/>
      <c r="AL1236" s="1037"/>
      <c r="AM1236" s="1037"/>
      <c r="AN1236" s="1037"/>
      <c r="AO1236" s="1037"/>
      <c r="AP1236" s="1037"/>
    </row>
    <row r="1237" spans="1:42" s="226" customFormat="1">
      <c r="A1237" s="2060"/>
      <c r="B1237" s="1037"/>
      <c r="C1237" s="1037"/>
      <c r="D1237" s="1037"/>
      <c r="E1237" s="1037"/>
      <c r="F1237" s="1037"/>
      <c r="G1237" s="1037"/>
      <c r="H1237" s="1018"/>
      <c r="I1237" s="1037"/>
      <c r="J1237" s="1037"/>
      <c r="K1237" s="1037"/>
      <c r="L1237" s="1037"/>
      <c r="M1237" s="1037"/>
      <c r="N1237" s="1037"/>
      <c r="O1237" s="1037"/>
      <c r="P1237" s="1037"/>
      <c r="Q1237" s="1037"/>
      <c r="R1237" s="1037"/>
      <c r="S1237" s="1037"/>
      <c r="T1237" s="1037"/>
      <c r="U1237" s="1037"/>
      <c r="V1237" s="1037"/>
      <c r="W1237" s="1037"/>
      <c r="X1237" s="1037"/>
      <c r="Y1237" s="1037"/>
      <c r="Z1237" s="1037"/>
      <c r="AA1237" s="1037"/>
      <c r="AB1237" s="1037"/>
      <c r="AC1237" s="1037"/>
      <c r="AD1237" s="1037"/>
      <c r="AE1237" s="1037"/>
      <c r="AF1237" s="1037"/>
      <c r="AG1237" s="1037"/>
      <c r="AH1237" s="1037"/>
      <c r="AI1237" s="1037"/>
      <c r="AJ1237" s="1037"/>
      <c r="AK1237" s="1037"/>
      <c r="AL1237" s="1037"/>
      <c r="AM1237" s="1037"/>
      <c r="AN1237" s="1037"/>
      <c r="AO1237" s="1037"/>
      <c r="AP1237" s="1037"/>
    </row>
    <row r="1238" spans="1:42" s="226" customFormat="1">
      <c r="A1238" s="2060"/>
      <c r="B1238" s="1037"/>
      <c r="C1238" s="1037"/>
      <c r="D1238" s="1037"/>
      <c r="E1238" s="1037"/>
      <c r="F1238" s="1037"/>
      <c r="G1238" s="1037"/>
      <c r="H1238" s="1018"/>
      <c r="I1238" s="1037"/>
      <c r="J1238" s="1037"/>
      <c r="K1238" s="1037"/>
      <c r="L1238" s="1037"/>
      <c r="M1238" s="1037"/>
      <c r="N1238" s="1037"/>
      <c r="O1238" s="1037"/>
      <c r="P1238" s="1037"/>
      <c r="Q1238" s="1037"/>
      <c r="R1238" s="1037"/>
      <c r="S1238" s="1037"/>
      <c r="T1238" s="1037"/>
      <c r="U1238" s="1037"/>
      <c r="V1238" s="1037"/>
      <c r="W1238" s="1037"/>
      <c r="X1238" s="1037"/>
      <c r="Y1238" s="1037"/>
      <c r="Z1238" s="1037"/>
      <c r="AA1238" s="1037"/>
      <c r="AB1238" s="1037"/>
      <c r="AC1238" s="1037"/>
      <c r="AD1238" s="1037"/>
      <c r="AE1238" s="1037"/>
      <c r="AF1238" s="1037"/>
      <c r="AG1238" s="1037"/>
      <c r="AH1238" s="1037"/>
      <c r="AI1238" s="1037"/>
      <c r="AJ1238" s="1037"/>
      <c r="AK1238" s="1037"/>
      <c r="AL1238" s="1037"/>
      <c r="AM1238" s="1037"/>
      <c r="AN1238" s="1037"/>
      <c r="AO1238" s="1037"/>
      <c r="AP1238" s="1037"/>
    </row>
    <row r="1239" spans="1:42" s="226" customFormat="1">
      <c r="A1239" s="2060"/>
      <c r="B1239" s="1037"/>
      <c r="C1239" s="1037"/>
      <c r="D1239" s="1037"/>
      <c r="E1239" s="1037"/>
      <c r="F1239" s="1037"/>
      <c r="G1239" s="1037"/>
      <c r="H1239" s="1018"/>
      <c r="I1239" s="1037"/>
      <c r="J1239" s="1037"/>
      <c r="K1239" s="1037"/>
      <c r="L1239" s="1037"/>
      <c r="M1239" s="1037"/>
      <c r="N1239" s="1037"/>
      <c r="O1239" s="1037"/>
      <c r="P1239" s="1037"/>
      <c r="Q1239" s="1037"/>
      <c r="R1239" s="1037"/>
      <c r="S1239" s="1037"/>
      <c r="T1239" s="1037"/>
      <c r="U1239" s="1037"/>
      <c r="V1239" s="1037"/>
      <c r="W1239" s="1037"/>
      <c r="X1239" s="1037"/>
      <c r="Y1239" s="1037"/>
      <c r="Z1239" s="1037"/>
      <c r="AA1239" s="1037"/>
      <c r="AB1239" s="1037"/>
      <c r="AC1239" s="1037"/>
      <c r="AD1239" s="1037"/>
      <c r="AE1239" s="1037"/>
      <c r="AF1239" s="1037"/>
      <c r="AG1239" s="1037"/>
      <c r="AH1239" s="1037"/>
      <c r="AI1239" s="1037"/>
      <c r="AJ1239" s="1037"/>
      <c r="AK1239" s="1037"/>
      <c r="AL1239" s="1037"/>
      <c r="AM1239" s="1037"/>
      <c r="AN1239" s="1037"/>
      <c r="AO1239" s="1037"/>
      <c r="AP1239" s="1037"/>
    </row>
    <row r="1240" spans="1:42" s="226" customFormat="1">
      <c r="A1240" s="2060"/>
      <c r="B1240" s="1037"/>
      <c r="C1240" s="1037"/>
      <c r="D1240" s="1037"/>
      <c r="E1240" s="1037"/>
      <c r="F1240" s="1037"/>
      <c r="G1240" s="1037"/>
      <c r="H1240" s="1018"/>
      <c r="I1240" s="1037"/>
      <c r="J1240" s="1037"/>
      <c r="K1240" s="1037"/>
      <c r="L1240" s="1037"/>
      <c r="M1240" s="1037"/>
      <c r="N1240" s="1037"/>
      <c r="O1240" s="1037"/>
      <c r="P1240" s="1037"/>
      <c r="Q1240" s="1037"/>
      <c r="R1240" s="1037"/>
      <c r="S1240" s="1037"/>
      <c r="T1240" s="1037"/>
      <c r="U1240" s="1037"/>
      <c r="V1240" s="1037"/>
      <c r="W1240" s="1037"/>
      <c r="X1240" s="1037"/>
      <c r="Y1240" s="1037"/>
      <c r="Z1240" s="1037"/>
      <c r="AA1240" s="1037"/>
      <c r="AB1240" s="1037"/>
      <c r="AC1240" s="1037"/>
      <c r="AD1240" s="1037"/>
      <c r="AE1240" s="1037"/>
      <c r="AF1240" s="1037"/>
      <c r="AG1240" s="1037"/>
      <c r="AH1240" s="1037"/>
      <c r="AI1240" s="1037"/>
      <c r="AJ1240" s="1037"/>
      <c r="AK1240" s="1037"/>
      <c r="AL1240" s="1037"/>
      <c r="AM1240" s="1037"/>
      <c r="AN1240" s="1037"/>
      <c r="AO1240" s="1037"/>
      <c r="AP1240" s="1037"/>
    </row>
    <row r="1241" spans="1:42" s="226" customFormat="1">
      <c r="A1241" s="2060"/>
      <c r="B1241" s="1037"/>
      <c r="C1241" s="1037"/>
      <c r="D1241" s="1037"/>
      <c r="E1241" s="1037"/>
      <c r="F1241" s="1037"/>
      <c r="G1241" s="1037"/>
      <c r="H1241" s="1018"/>
      <c r="I1241" s="1037"/>
      <c r="J1241" s="1037"/>
      <c r="K1241" s="1037"/>
      <c r="L1241" s="1037"/>
      <c r="M1241" s="1037"/>
      <c r="N1241" s="1037"/>
      <c r="O1241" s="1037"/>
      <c r="P1241" s="1037"/>
      <c r="Q1241" s="1037"/>
      <c r="R1241" s="1037"/>
      <c r="S1241" s="1037"/>
      <c r="T1241" s="1037"/>
      <c r="U1241" s="1037"/>
      <c r="V1241" s="1037"/>
      <c r="W1241" s="1037"/>
      <c r="X1241" s="1037"/>
      <c r="Y1241" s="1037"/>
      <c r="Z1241" s="1037"/>
      <c r="AA1241" s="1037"/>
      <c r="AB1241" s="1037"/>
      <c r="AC1241" s="1037"/>
      <c r="AD1241" s="1037"/>
      <c r="AE1241" s="1037"/>
      <c r="AF1241" s="1037"/>
      <c r="AG1241" s="1037"/>
      <c r="AH1241" s="1037"/>
      <c r="AI1241" s="1037"/>
      <c r="AJ1241" s="1037"/>
      <c r="AK1241" s="1037"/>
      <c r="AL1241" s="1037"/>
      <c r="AM1241" s="1037"/>
      <c r="AN1241" s="1037"/>
      <c r="AO1241" s="1037"/>
      <c r="AP1241" s="1037"/>
    </row>
    <row r="1242" spans="1:42" s="226" customFormat="1">
      <c r="A1242" s="2060"/>
      <c r="B1242" s="1037"/>
      <c r="C1242" s="1037"/>
      <c r="D1242" s="1037"/>
      <c r="E1242" s="1037"/>
      <c r="F1242" s="1037"/>
      <c r="G1242" s="1037"/>
      <c r="H1242" s="1018"/>
      <c r="I1242" s="1037"/>
      <c r="J1242" s="1037"/>
      <c r="K1242" s="1037"/>
      <c r="L1242" s="1037"/>
      <c r="M1242" s="1037"/>
      <c r="N1242" s="1037"/>
      <c r="O1242" s="1037"/>
      <c r="P1242" s="1037"/>
      <c r="Q1242" s="1037"/>
      <c r="R1242" s="1037"/>
      <c r="S1242" s="1037"/>
      <c r="T1242" s="1037"/>
      <c r="U1242" s="1037"/>
      <c r="V1242" s="1037"/>
      <c r="W1242" s="1037"/>
      <c r="X1242" s="1037"/>
      <c r="Y1242" s="1037"/>
      <c r="Z1242" s="1037"/>
      <c r="AA1242" s="1037"/>
      <c r="AB1242" s="1037"/>
      <c r="AC1242" s="1037"/>
      <c r="AD1242" s="1037"/>
      <c r="AE1242" s="1037"/>
      <c r="AF1242" s="1037"/>
      <c r="AG1242" s="1037"/>
      <c r="AH1242" s="1037"/>
      <c r="AI1242" s="1037"/>
      <c r="AJ1242" s="1037"/>
      <c r="AK1242" s="1037"/>
      <c r="AL1242" s="1037"/>
      <c r="AM1242" s="1037"/>
      <c r="AN1242" s="1037"/>
      <c r="AO1242" s="1037"/>
      <c r="AP1242" s="1037"/>
    </row>
    <row r="1243" spans="1:42" s="226" customFormat="1">
      <c r="A1243" s="2060"/>
      <c r="B1243" s="1037"/>
      <c r="C1243" s="1037"/>
      <c r="D1243" s="1037"/>
      <c r="E1243" s="1037"/>
      <c r="F1243" s="1037"/>
      <c r="G1243" s="1037"/>
      <c r="H1243" s="1018"/>
      <c r="I1243" s="1037"/>
      <c r="J1243" s="1037"/>
      <c r="K1243" s="1037"/>
      <c r="L1243" s="1037"/>
      <c r="M1243" s="1037"/>
      <c r="N1243" s="1037"/>
      <c r="O1243" s="1037"/>
      <c r="P1243" s="1037"/>
      <c r="Q1243" s="1037"/>
      <c r="R1243" s="1037"/>
      <c r="S1243" s="1037"/>
      <c r="T1243" s="1037"/>
      <c r="U1243" s="1037"/>
      <c r="V1243" s="1037"/>
      <c r="W1243" s="1037"/>
      <c r="X1243" s="1037"/>
      <c r="Y1243" s="1037"/>
      <c r="Z1243" s="1037"/>
      <c r="AA1243" s="1037"/>
      <c r="AB1243" s="1037"/>
      <c r="AC1243" s="1037"/>
      <c r="AD1243" s="1037"/>
      <c r="AE1243" s="1037"/>
      <c r="AF1243" s="1037"/>
      <c r="AG1243" s="1037"/>
      <c r="AH1243" s="1037"/>
      <c r="AI1243" s="1037"/>
      <c r="AJ1243" s="1037"/>
      <c r="AK1243" s="1037"/>
      <c r="AL1243" s="1037"/>
      <c r="AM1243" s="1037"/>
      <c r="AN1243" s="1037"/>
      <c r="AO1243" s="1037"/>
      <c r="AP1243" s="1037"/>
    </row>
    <row r="1244" spans="1:42" s="226" customFormat="1">
      <c r="A1244" s="2060"/>
      <c r="B1244" s="1037"/>
      <c r="C1244" s="1037"/>
      <c r="D1244" s="1037"/>
      <c r="E1244" s="1037"/>
      <c r="F1244" s="1037"/>
      <c r="G1244" s="1037"/>
      <c r="H1244" s="1018"/>
      <c r="I1244" s="1037"/>
      <c r="J1244" s="1037"/>
      <c r="K1244" s="1037"/>
      <c r="L1244" s="1037"/>
      <c r="M1244" s="1037"/>
      <c r="N1244" s="1037"/>
      <c r="O1244" s="1037"/>
      <c r="P1244" s="1037"/>
      <c r="Q1244" s="1037"/>
      <c r="R1244" s="1037"/>
      <c r="S1244" s="1037"/>
      <c r="T1244" s="1037"/>
      <c r="U1244" s="1037"/>
      <c r="V1244" s="1037"/>
      <c r="W1244" s="1037"/>
      <c r="X1244" s="1037"/>
      <c r="Y1244" s="1037"/>
      <c r="Z1244" s="1037"/>
      <c r="AA1244" s="1037"/>
      <c r="AB1244" s="1037"/>
      <c r="AC1244" s="1037"/>
      <c r="AD1244" s="1037"/>
      <c r="AE1244" s="1037"/>
      <c r="AF1244" s="1037"/>
      <c r="AG1244" s="1037"/>
      <c r="AH1244" s="1037"/>
      <c r="AI1244" s="1037"/>
      <c r="AJ1244" s="1037"/>
      <c r="AK1244" s="1037"/>
      <c r="AL1244" s="1037"/>
      <c r="AM1244" s="1037"/>
      <c r="AN1244" s="1037"/>
      <c r="AO1244" s="1037"/>
      <c r="AP1244" s="1037"/>
    </row>
    <row r="1245" spans="1:42" s="226" customFormat="1">
      <c r="A1245" s="2060"/>
      <c r="B1245" s="1037"/>
      <c r="C1245" s="1037"/>
      <c r="D1245" s="1037"/>
      <c r="E1245" s="1037"/>
      <c r="F1245" s="1037"/>
      <c r="G1245" s="1037"/>
      <c r="H1245" s="1018"/>
      <c r="I1245" s="1037"/>
      <c r="J1245" s="1037"/>
      <c r="K1245" s="1037"/>
      <c r="L1245" s="1037"/>
      <c r="M1245" s="1037"/>
      <c r="N1245" s="1037"/>
      <c r="O1245" s="1037"/>
      <c r="P1245" s="1037"/>
      <c r="Q1245" s="1037"/>
      <c r="R1245" s="1037"/>
      <c r="S1245" s="1037"/>
      <c r="T1245" s="1037"/>
      <c r="U1245" s="1037"/>
      <c r="V1245" s="1037"/>
      <c r="W1245" s="1037"/>
      <c r="X1245" s="1037"/>
      <c r="Y1245" s="1037"/>
      <c r="Z1245" s="1037"/>
      <c r="AA1245" s="1037"/>
      <c r="AB1245" s="1037"/>
      <c r="AC1245" s="1037"/>
      <c r="AD1245" s="1037"/>
      <c r="AE1245" s="1037"/>
      <c r="AF1245" s="1037"/>
      <c r="AG1245" s="1037"/>
      <c r="AH1245" s="1037"/>
      <c r="AI1245" s="1037"/>
      <c r="AJ1245" s="1037"/>
      <c r="AK1245" s="1037"/>
      <c r="AL1245" s="1037"/>
      <c r="AM1245" s="1037"/>
      <c r="AN1245" s="1037"/>
      <c r="AO1245" s="1037"/>
      <c r="AP1245" s="1037"/>
    </row>
    <row r="1246" spans="1:42" s="226" customFormat="1">
      <c r="A1246" s="2060"/>
      <c r="B1246" s="1037"/>
      <c r="C1246" s="1037"/>
      <c r="D1246" s="1037"/>
      <c r="E1246" s="1037"/>
      <c r="F1246" s="1037"/>
      <c r="G1246" s="1037"/>
      <c r="H1246" s="1018"/>
      <c r="I1246" s="1037"/>
      <c r="J1246" s="1037"/>
      <c r="K1246" s="1037"/>
      <c r="L1246" s="1037"/>
      <c r="M1246" s="1037"/>
      <c r="N1246" s="1037"/>
      <c r="O1246" s="1037"/>
      <c r="P1246" s="1037"/>
      <c r="Q1246" s="1037"/>
      <c r="R1246" s="1037"/>
      <c r="S1246" s="1037"/>
      <c r="T1246" s="1037"/>
      <c r="U1246" s="1037"/>
      <c r="V1246" s="1037"/>
      <c r="W1246" s="1037"/>
      <c r="X1246" s="1037"/>
      <c r="Y1246" s="1037"/>
      <c r="Z1246" s="1037"/>
      <c r="AA1246" s="1037"/>
      <c r="AB1246" s="1037"/>
      <c r="AC1246" s="1037"/>
      <c r="AD1246" s="1037"/>
      <c r="AE1246" s="1037"/>
      <c r="AF1246" s="1037"/>
      <c r="AG1246" s="1037"/>
      <c r="AH1246" s="1037"/>
      <c r="AI1246" s="1037"/>
      <c r="AJ1246" s="1037"/>
      <c r="AK1246" s="1037"/>
      <c r="AL1246" s="1037"/>
      <c r="AM1246" s="1037"/>
      <c r="AN1246" s="1037"/>
      <c r="AO1246" s="1037"/>
      <c r="AP1246" s="1037"/>
    </row>
    <row r="1247" spans="1:42" s="226" customFormat="1">
      <c r="A1247" s="2060"/>
      <c r="B1247" s="1037"/>
      <c r="C1247" s="1037"/>
      <c r="D1247" s="1037"/>
      <c r="E1247" s="1037"/>
      <c r="F1247" s="1037"/>
      <c r="G1247" s="1037"/>
      <c r="H1247" s="1018"/>
      <c r="I1247" s="1037"/>
      <c r="J1247" s="1037"/>
      <c r="K1247" s="1037"/>
      <c r="L1247" s="1037"/>
      <c r="M1247" s="1037"/>
      <c r="N1247" s="1037"/>
      <c r="O1247" s="1037"/>
      <c r="P1247" s="1037"/>
      <c r="Q1247" s="1037"/>
      <c r="R1247" s="1037"/>
      <c r="S1247" s="1037"/>
      <c r="T1247" s="1037"/>
      <c r="U1247" s="1037"/>
      <c r="V1247" s="1037"/>
      <c r="W1247" s="1037"/>
      <c r="X1247" s="1037"/>
      <c r="Y1247" s="1037"/>
      <c r="Z1247" s="1037"/>
      <c r="AA1247" s="1037"/>
      <c r="AB1247" s="1037"/>
      <c r="AC1247" s="1037"/>
      <c r="AD1247" s="1037"/>
      <c r="AE1247" s="1037"/>
      <c r="AF1247" s="1037"/>
      <c r="AG1247" s="1037"/>
      <c r="AH1247" s="1037"/>
      <c r="AI1247" s="1037"/>
      <c r="AJ1247" s="1037"/>
      <c r="AK1247" s="1037"/>
      <c r="AL1247" s="1037"/>
      <c r="AM1247" s="1037"/>
      <c r="AN1247" s="1037"/>
      <c r="AO1247" s="1037"/>
      <c r="AP1247" s="1037"/>
    </row>
    <row r="1248" spans="1:42" s="226" customFormat="1">
      <c r="A1248" s="2060"/>
      <c r="B1248" s="1037"/>
      <c r="C1248" s="1037"/>
      <c r="D1248" s="1037"/>
      <c r="E1248" s="1037"/>
      <c r="F1248" s="1037"/>
      <c r="G1248" s="1037"/>
      <c r="H1248" s="1018"/>
      <c r="I1248" s="1037"/>
      <c r="J1248" s="1037"/>
      <c r="K1248" s="1037"/>
      <c r="L1248" s="1037"/>
      <c r="M1248" s="1037"/>
      <c r="N1248" s="1037"/>
      <c r="O1248" s="1037"/>
      <c r="P1248" s="1037"/>
      <c r="Q1248" s="1037"/>
      <c r="R1248" s="1037"/>
      <c r="S1248" s="1037"/>
      <c r="T1248" s="1037"/>
      <c r="U1248" s="1037"/>
      <c r="V1248" s="1037"/>
      <c r="W1248" s="1037"/>
      <c r="X1248" s="1037"/>
      <c r="Y1248" s="1037"/>
      <c r="Z1248" s="1037"/>
      <c r="AA1248" s="1037"/>
      <c r="AB1248" s="1037"/>
      <c r="AC1248" s="1037"/>
      <c r="AD1248" s="1037"/>
      <c r="AE1248" s="1037"/>
      <c r="AF1248" s="1037"/>
      <c r="AG1248" s="1037"/>
      <c r="AH1248" s="1037"/>
      <c r="AI1248" s="1037"/>
      <c r="AJ1248" s="1037"/>
      <c r="AK1248" s="1037"/>
      <c r="AL1248" s="1037"/>
      <c r="AM1248" s="1037"/>
      <c r="AN1248" s="1037"/>
      <c r="AO1248" s="1037"/>
      <c r="AP1248" s="1037"/>
    </row>
    <row r="1249" spans="1:42" s="226" customFormat="1">
      <c r="A1249" s="2060"/>
      <c r="B1249" s="1037"/>
      <c r="C1249" s="1037"/>
      <c r="D1249" s="1037"/>
      <c r="E1249" s="1037"/>
      <c r="F1249" s="1037"/>
      <c r="G1249" s="1037"/>
      <c r="H1249" s="1018"/>
      <c r="I1249" s="1037"/>
      <c r="J1249" s="1037"/>
      <c r="K1249" s="1037"/>
      <c r="L1249" s="1037"/>
      <c r="M1249" s="1037"/>
      <c r="N1249" s="1037"/>
      <c r="O1249" s="1037"/>
      <c r="P1249" s="1037"/>
      <c r="Q1249" s="1037"/>
      <c r="R1249" s="1037"/>
      <c r="S1249" s="1037"/>
      <c r="T1249" s="1037"/>
      <c r="U1249" s="1037"/>
      <c r="V1249" s="1037"/>
      <c r="W1249" s="1037"/>
      <c r="X1249" s="1037"/>
      <c r="Y1249" s="1037"/>
      <c r="Z1249" s="1037"/>
      <c r="AA1249" s="1037"/>
      <c r="AB1249" s="1037"/>
      <c r="AC1249" s="1037"/>
      <c r="AD1249" s="1037"/>
      <c r="AE1249" s="1037"/>
      <c r="AF1249" s="1037"/>
      <c r="AG1249" s="1037"/>
      <c r="AH1249" s="1037"/>
      <c r="AI1249" s="1037"/>
      <c r="AJ1249" s="1037"/>
      <c r="AK1249" s="1037"/>
      <c r="AL1249" s="1037"/>
      <c r="AM1249" s="1037"/>
      <c r="AN1249" s="1037"/>
      <c r="AO1249" s="1037"/>
      <c r="AP1249" s="1037"/>
    </row>
    <row r="1250" spans="1:42" s="226" customFormat="1">
      <c r="A1250" s="2060"/>
      <c r="B1250" s="1037"/>
      <c r="C1250" s="1037"/>
      <c r="D1250" s="1037"/>
      <c r="E1250" s="1037"/>
      <c r="F1250" s="1037"/>
      <c r="G1250" s="1037"/>
      <c r="H1250" s="1018"/>
      <c r="I1250" s="1037"/>
      <c r="J1250" s="1037"/>
      <c r="K1250" s="1037"/>
      <c r="L1250" s="1037"/>
      <c r="M1250" s="1037"/>
      <c r="N1250" s="1037"/>
      <c r="O1250" s="1037"/>
      <c r="P1250" s="1037"/>
      <c r="Q1250" s="1037"/>
      <c r="R1250" s="1037"/>
      <c r="S1250" s="1037"/>
      <c r="T1250" s="1037"/>
      <c r="U1250" s="1037"/>
      <c r="V1250" s="1037"/>
      <c r="W1250" s="1037"/>
      <c r="X1250" s="1037"/>
      <c r="Y1250" s="1037"/>
      <c r="Z1250" s="1037"/>
      <c r="AA1250" s="1037"/>
      <c r="AB1250" s="1037"/>
      <c r="AC1250" s="1037"/>
      <c r="AD1250" s="1037"/>
      <c r="AE1250" s="1037"/>
      <c r="AF1250" s="1037"/>
      <c r="AG1250" s="1037"/>
      <c r="AH1250" s="1037"/>
      <c r="AI1250" s="1037"/>
      <c r="AJ1250" s="1037"/>
      <c r="AK1250" s="1037"/>
      <c r="AL1250" s="1037"/>
      <c r="AM1250" s="1037"/>
      <c r="AN1250" s="1037"/>
      <c r="AO1250" s="1037"/>
      <c r="AP1250" s="1037"/>
    </row>
    <row r="1251" spans="1:42" s="226" customFormat="1">
      <c r="A1251" s="2060"/>
      <c r="B1251" s="1037"/>
      <c r="C1251" s="1037"/>
      <c r="D1251" s="1037"/>
      <c r="E1251" s="1037"/>
      <c r="F1251" s="1037"/>
      <c r="G1251" s="1037"/>
      <c r="H1251" s="1018"/>
      <c r="I1251" s="1037"/>
      <c r="J1251" s="1037"/>
      <c r="K1251" s="1037"/>
      <c r="L1251" s="1037"/>
      <c r="M1251" s="1037"/>
      <c r="N1251" s="1037"/>
      <c r="O1251" s="1037"/>
      <c r="P1251" s="1037"/>
      <c r="Q1251" s="1037"/>
      <c r="R1251" s="1037"/>
      <c r="S1251" s="1037"/>
      <c r="T1251" s="1037"/>
      <c r="U1251" s="1037"/>
      <c r="V1251" s="1037"/>
      <c r="W1251" s="1037"/>
      <c r="X1251" s="1037"/>
      <c r="Y1251" s="1037"/>
      <c r="Z1251" s="1037"/>
      <c r="AA1251" s="1037"/>
      <c r="AB1251" s="1037"/>
      <c r="AC1251" s="1037"/>
      <c r="AD1251" s="1037"/>
      <c r="AE1251" s="1037"/>
      <c r="AF1251" s="1037"/>
      <c r="AG1251" s="1037"/>
      <c r="AH1251" s="1037"/>
      <c r="AI1251" s="1037"/>
      <c r="AJ1251" s="1037"/>
      <c r="AK1251" s="1037"/>
      <c r="AL1251" s="1037"/>
      <c r="AM1251" s="1037"/>
      <c r="AN1251" s="1037"/>
      <c r="AO1251" s="1037"/>
      <c r="AP1251" s="1037"/>
    </row>
    <row r="1252" spans="1:42" s="226" customFormat="1">
      <c r="A1252" s="2060"/>
      <c r="B1252" s="1037"/>
      <c r="C1252" s="1037"/>
      <c r="D1252" s="1037"/>
      <c r="E1252" s="1037"/>
      <c r="F1252" s="1037"/>
      <c r="G1252" s="1037"/>
      <c r="H1252" s="1018"/>
      <c r="I1252" s="1037"/>
      <c r="J1252" s="1037"/>
      <c r="K1252" s="1037"/>
      <c r="L1252" s="1037"/>
      <c r="M1252" s="1037"/>
      <c r="N1252" s="1037"/>
      <c r="O1252" s="1037"/>
      <c r="P1252" s="1037"/>
      <c r="Q1252" s="1037"/>
      <c r="R1252" s="1037"/>
      <c r="S1252" s="1037"/>
      <c r="T1252" s="1037"/>
      <c r="U1252" s="1037"/>
      <c r="V1252" s="1037"/>
      <c r="W1252" s="1037"/>
      <c r="X1252" s="1037"/>
      <c r="Y1252" s="1037"/>
      <c r="Z1252" s="1037"/>
      <c r="AA1252" s="1037"/>
      <c r="AB1252" s="1037"/>
      <c r="AC1252" s="1037"/>
      <c r="AD1252" s="1037"/>
      <c r="AE1252" s="1037"/>
      <c r="AF1252" s="1037"/>
      <c r="AG1252" s="1037"/>
      <c r="AH1252" s="1037"/>
      <c r="AI1252" s="1037"/>
      <c r="AJ1252" s="1037"/>
      <c r="AK1252" s="1037"/>
      <c r="AL1252" s="1037"/>
      <c r="AM1252" s="1037"/>
      <c r="AN1252" s="1037"/>
      <c r="AO1252" s="1037"/>
      <c r="AP1252" s="1037"/>
    </row>
    <row r="1253" spans="1:42" s="226" customFormat="1">
      <c r="A1253" s="2060"/>
      <c r="B1253" s="1037"/>
      <c r="C1253" s="1037"/>
      <c r="D1253" s="1037"/>
      <c r="E1253" s="1037"/>
      <c r="F1253" s="1037"/>
      <c r="G1253" s="1037"/>
      <c r="H1253" s="1018"/>
      <c r="I1253" s="1037"/>
      <c r="J1253" s="1037"/>
      <c r="K1253" s="1037"/>
      <c r="L1253" s="1037"/>
      <c r="M1253" s="1037"/>
      <c r="N1253" s="1037"/>
      <c r="O1253" s="1037"/>
      <c r="P1253" s="1037"/>
      <c r="Q1253" s="1037"/>
      <c r="R1253" s="1037"/>
      <c r="S1253" s="1037"/>
      <c r="T1253" s="1037"/>
      <c r="U1253" s="1037"/>
      <c r="V1253" s="1037"/>
      <c r="W1253" s="1037"/>
      <c r="X1253" s="1037"/>
      <c r="Y1253" s="1037"/>
      <c r="Z1253" s="1037"/>
      <c r="AA1253" s="1037"/>
      <c r="AB1253" s="1037"/>
      <c r="AC1253" s="1037"/>
      <c r="AD1253" s="1037"/>
      <c r="AE1253" s="1037"/>
      <c r="AF1253" s="1037"/>
      <c r="AG1253" s="1037"/>
      <c r="AH1253" s="1037"/>
      <c r="AI1253" s="1037"/>
      <c r="AJ1253" s="1037"/>
      <c r="AK1253" s="1037"/>
      <c r="AL1253" s="1037"/>
      <c r="AM1253" s="1037"/>
      <c r="AN1253" s="1037"/>
      <c r="AO1253" s="1037"/>
      <c r="AP1253" s="1037"/>
    </row>
    <row r="1254" spans="1:42" s="226" customFormat="1">
      <c r="A1254" s="2060"/>
      <c r="B1254" s="1037"/>
      <c r="C1254" s="1037"/>
      <c r="D1254" s="1037"/>
      <c r="E1254" s="1037"/>
      <c r="F1254" s="1037"/>
      <c r="G1254" s="1037"/>
      <c r="H1254" s="1018"/>
      <c r="I1254" s="1037"/>
      <c r="J1254" s="1037"/>
      <c r="K1254" s="1037"/>
      <c r="L1254" s="1037"/>
      <c r="M1254" s="1037"/>
      <c r="N1254" s="1037"/>
      <c r="O1254" s="1037"/>
      <c r="P1254" s="1037"/>
      <c r="Q1254" s="1037"/>
      <c r="R1254" s="1037"/>
      <c r="S1254" s="1037"/>
      <c r="T1254" s="1037"/>
      <c r="U1254" s="1037"/>
      <c r="V1254" s="1037"/>
      <c r="W1254" s="1037"/>
      <c r="X1254" s="1037"/>
      <c r="Y1254" s="1037"/>
      <c r="Z1254" s="1037"/>
      <c r="AA1254" s="1037"/>
      <c r="AB1254" s="1037"/>
      <c r="AC1254" s="1037"/>
      <c r="AD1254" s="1037"/>
      <c r="AE1254" s="1037"/>
      <c r="AF1254" s="1037"/>
      <c r="AG1254" s="1037"/>
      <c r="AH1254" s="1037"/>
      <c r="AI1254" s="1037"/>
      <c r="AJ1254" s="1037"/>
      <c r="AK1254" s="1037"/>
      <c r="AL1254" s="1037"/>
      <c r="AM1254" s="1037"/>
      <c r="AN1254" s="1037"/>
      <c r="AO1254" s="1037"/>
      <c r="AP1254" s="1037"/>
    </row>
    <row r="1255" spans="1:42" s="226" customFormat="1">
      <c r="A1255" s="2060"/>
      <c r="B1255" s="1037"/>
      <c r="C1255" s="1037"/>
      <c r="D1255" s="1037"/>
      <c r="E1255" s="1037"/>
      <c r="F1255" s="1037"/>
      <c r="G1255" s="1037"/>
      <c r="H1255" s="1018"/>
      <c r="I1255" s="1037"/>
      <c r="J1255" s="1037"/>
      <c r="K1255" s="1037"/>
      <c r="L1255" s="1037"/>
      <c r="M1255" s="1037"/>
      <c r="N1255" s="1037"/>
      <c r="O1255" s="1037"/>
      <c r="P1255" s="1037"/>
      <c r="Q1255" s="1037"/>
      <c r="R1255" s="1037"/>
      <c r="S1255" s="1037"/>
      <c r="T1255" s="1037"/>
      <c r="U1255" s="1037"/>
      <c r="V1255" s="1037"/>
      <c r="W1255" s="1037"/>
      <c r="X1255" s="1037"/>
      <c r="Y1255" s="1037"/>
      <c r="Z1255" s="1037"/>
      <c r="AA1255" s="1037"/>
      <c r="AB1255" s="1037"/>
      <c r="AC1255" s="1037"/>
      <c r="AD1255" s="1037"/>
      <c r="AE1255" s="1037"/>
      <c r="AF1255" s="1037"/>
      <c r="AG1255" s="1037"/>
      <c r="AH1255" s="1037"/>
      <c r="AI1255" s="1037"/>
      <c r="AJ1255" s="1037"/>
      <c r="AK1255" s="1037"/>
      <c r="AL1255" s="1037"/>
      <c r="AM1255" s="1037"/>
      <c r="AN1255" s="1037"/>
      <c r="AO1255" s="1037"/>
      <c r="AP1255" s="1037"/>
    </row>
    <row r="1256" spans="1:42" s="226" customFormat="1">
      <c r="A1256" s="2060"/>
      <c r="B1256" s="1037"/>
      <c r="C1256" s="1037"/>
      <c r="D1256" s="1037"/>
      <c r="E1256" s="1037"/>
      <c r="F1256" s="1037"/>
      <c r="G1256" s="1037"/>
      <c r="H1256" s="1018"/>
      <c r="I1256" s="1037"/>
      <c r="J1256" s="1037"/>
      <c r="K1256" s="1037"/>
      <c r="L1256" s="1037"/>
      <c r="M1256" s="1037"/>
      <c r="N1256" s="1037"/>
      <c r="O1256" s="1037"/>
      <c r="P1256" s="1037"/>
      <c r="Q1256" s="1037"/>
      <c r="R1256" s="1037"/>
      <c r="S1256" s="1037"/>
      <c r="T1256" s="1037"/>
      <c r="U1256" s="1037"/>
      <c r="V1256" s="1037"/>
      <c r="W1256" s="1037"/>
      <c r="X1256" s="1037"/>
      <c r="Y1256" s="1037"/>
      <c r="Z1256" s="1037"/>
      <c r="AA1256" s="1037"/>
      <c r="AB1256" s="1037"/>
      <c r="AC1256" s="1037"/>
      <c r="AD1256" s="1037"/>
      <c r="AE1256" s="1037"/>
      <c r="AF1256" s="1037"/>
      <c r="AG1256" s="1037"/>
      <c r="AH1256" s="1037"/>
      <c r="AI1256" s="1037"/>
      <c r="AJ1256" s="1037"/>
      <c r="AK1256" s="1037"/>
      <c r="AL1256" s="1037"/>
      <c r="AM1256" s="1037"/>
      <c r="AN1256" s="1037"/>
      <c r="AO1256" s="1037"/>
      <c r="AP1256" s="1037"/>
    </row>
    <row r="1257" spans="1:42" s="226" customFormat="1">
      <c r="A1257" s="2060"/>
      <c r="B1257" s="1037"/>
      <c r="C1257" s="1037"/>
      <c r="D1257" s="1037"/>
      <c r="E1257" s="1037"/>
      <c r="F1257" s="1037"/>
      <c r="G1257" s="1037"/>
      <c r="H1257" s="1018"/>
      <c r="I1257" s="1037"/>
      <c r="J1257" s="1037"/>
      <c r="K1257" s="1037"/>
      <c r="L1257" s="1037"/>
      <c r="M1257" s="1037"/>
      <c r="N1257" s="1037"/>
      <c r="O1257" s="1037"/>
      <c r="P1257" s="1037"/>
      <c r="Q1257" s="1037"/>
      <c r="R1257" s="1037"/>
      <c r="S1257" s="1037"/>
      <c r="T1257" s="1037"/>
      <c r="U1257" s="1037"/>
      <c r="V1257" s="1037"/>
      <c r="W1257" s="1037"/>
      <c r="X1257" s="1037"/>
      <c r="Y1257" s="1037"/>
      <c r="Z1257" s="1037"/>
      <c r="AA1257" s="1037"/>
      <c r="AB1257" s="1037"/>
      <c r="AC1257" s="1037"/>
      <c r="AD1257" s="1037"/>
      <c r="AE1257" s="1037"/>
      <c r="AF1257" s="1037"/>
      <c r="AG1257" s="1037"/>
      <c r="AH1257" s="1037"/>
      <c r="AI1257" s="1037"/>
      <c r="AJ1257" s="1037"/>
      <c r="AK1257" s="1037"/>
      <c r="AL1257" s="1037"/>
      <c r="AM1257" s="1037"/>
      <c r="AN1257" s="1037"/>
      <c r="AO1257" s="1037"/>
      <c r="AP1257" s="1037"/>
    </row>
    <row r="1258" spans="1:42" s="226" customFormat="1">
      <c r="A1258" s="2060"/>
      <c r="B1258" s="1037"/>
      <c r="C1258" s="1037"/>
      <c r="D1258" s="1037"/>
      <c r="E1258" s="1037"/>
      <c r="F1258" s="1037"/>
      <c r="G1258" s="1037"/>
      <c r="H1258" s="1018"/>
      <c r="I1258" s="1037"/>
      <c r="J1258" s="1037"/>
      <c r="K1258" s="1037"/>
      <c r="L1258" s="1037"/>
      <c r="M1258" s="1037"/>
      <c r="N1258" s="1037"/>
      <c r="O1258" s="1037"/>
      <c r="P1258" s="1037"/>
      <c r="Q1258" s="1037"/>
      <c r="R1258" s="1037"/>
      <c r="S1258" s="1037"/>
      <c r="T1258" s="1037"/>
      <c r="U1258" s="1037"/>
      <c r="V1258" s="1037"/>
      <c r="W1258" s="1037"/>
      <c r="X1258" s="1037"/>
      <c r="Y1258" s="1037"/>
      <c r="Z1258" s="1037"/>
      <c r="AA1258" s="1037"/>
      <c r="AB1258" s="1037"/>
      <c r="AC1258" s="1037"/>
      <c r="AD1258" s="1037"/>
      <c r="AE1258" s="1037"/>
      <c r="AF1258" s="1037"/>
      <c r="AG1258" s="1037"/>
      <c r="AH1258" s="1037"/>
      <c r="AI1258" s="1037"/>
      <c r="AJ1258" s="1037"/>
      <c r="AK1258" s="1037"/>
      <c r="AL1258" s="1037"/>
      <c r="AM1258" s="1037"/>
      <c r="AN1258" s="1037"/>
      <c r="AO1258" s="1037"/>
      <c r="AP1258" s="1037"/>
    </row>
    <row r="1259" spans="1:42" s="226" customFormat="1">
      <c r="A1259" s="2060"/>
      <c r="B1259" s="1037"/>
      <c r="C1259" s="1037"/>
      <c r="D1259" s="1037"/>
      <c r="E1259" s="1037"/>
      <c r="F1259" s="1037"/>
      <c r="G1259" s="1037"/>
      <c r="H1259" s="1018"/>
      <c r="I1259" s="1037"/>
      <c r="J1259" s="1037"/>
      <c r="K1259" s="1037"/>
      <c r="L1259" s="1037"/>
      <c r="M1259" s="1037"/>
      <c r="N1259" s="1037"/>
      <c r="O1259" s="1037"/>
      <c r="P1259" s="1037"/>
      <c r="Q1259" s="1037"/>
      <c r="R1259" s="1037"/>
      <c r="S1259" s="1037"/>
      <c r="T1259" s="1037"/>
      <c r="U1259" s="1037"/>
      <c r="V1259" s="1037"/>
      <c r="W1259" s="1037"/>
      <c r="X1259" s="1037"/>
      <c r="Y1259" s="1037"/>
      <c r="Z1259" s="1037"/>
      <c r="AA1259" s="1037"/>
      <c r="AB1259" s="1037"/>
      <c r="AC1259" s="1037"/>
      <c r="AD1259" s="1037"/>
      <c r="AE1259" s="1037"/>
      <c r="AF1259" s="1037"/>
      <c r="AG1259" s="1037"/>
      <c r="AH1259" s="1037"/>
      <c r="AI1259" s="1037"/>
      <c r="AJ1259" s="1037"/>
      <c r="AK1259" s="1037"/>
      <c r="AL1259" s="1037"/>
      <c r="AM1259" s="1037"/>
      <c r="AN1259" s="1037"/>
      <c r="AO1259" s="1037"/>
      <c r="AP1259" s="1037"/>
    </row>
    <row r="1260" spans="1:42" s="226" customFormat="1">
      <c r="A1260" s="2060"/>
      <c r="B1260" s="1037"/>
      <c r="C1260" s="1037"/>
      <c r="D1260" s="1037"/>
      <c r="E1260" s="1037"/>
      <c r="F1260" s="1037"/>
      <c r="G1260" s="1037"/>
      <c r="H1260" s="1018"/>
      <c r="I1260" s="1037"/>
      <c r="J1260" s="1037"/>
      <c r="K1260" s="1037"/>
      <c r="L1260" s="1037"/>
      <c r="M1260" s="1037"/>
      <c r="N1260" s="1037"/>
      <c r="O1260" s="1037"/>
      <c r="P1260" s="1037"/>
      <c r="Q1260" s="1037"/>
      <c r="R1260" s="1037"/>
      <c r="S1260" s="1037"/>
      <c r="T1260" s="1037"/>
      <c r="U1260" s="1037"/>
      <c r="V1260" s="1037"/>
      <c r="W1260" s="1037"/>
      <c r="X1260" s="1037"/>
      <c r="Y1260" s="1037"/>
      <c r="Z1260" s="1037"/>
      <c r="AA1260" s="1037"/>
      <c r="AB1260" s="1037"/>
      <c r="AC1260" s="1037"/>
      <c r="AD1260" s="1037"/>
      <c r="AE1260" s="1037"/>
      <c r="AF1260" s="1037"/>
      <c r="AG1260" s="1037"/>
      <c r="AH1260" s="1037"/>
      <c r="AI1260" s="1037"/>
      <c r="AJ1260" s="1037"/>
      <c r="AK1260" s="1037"/>
      <c r="AL1260" s="1037"/>
      <c r="AM1260" s="1037"/>
      <c r="AN1260" s="1037"/>
      <c r="AO1260" s="1037"/>
      <c r="AP1260" s="1037"/>
    </row>
    <row r="1261" spans="1:42" s="226" customFormat="1">
      <c r="A1261" s="2060"/>
      <c r="B1261" s="1037"/>
      <c r="C1261" s="1037"/>
      <c r="D1261" s="1037"/>
      <c r="E1261" s="1037"/>
      <c r="F1261" s="1037"/>
      <c r="G1261" s="1037"/>
      <c r="H1261" s="1018"/>
      <c r="I1261" s="1037"/>
      <c r="J1261" s="1037"/>
      <c r="K1261" s="1037"/>
      <c r="L1261" s="1037"/>
      <c r="M1261" s="1037"/>
      <c r="N1261" s="1037"/>
      <c r="O1261" s="1037"/>
      <c r="P1261" s="1037"/>
      <c r="Q1261" s="1037"/>
      <c r="R1261" s="1037"/>
      <c r="S1261" s="1037"/>
      <c r="T1261" s="1037"/>
      <c r="U1261" s="1037"/>
      <c r="V1261" s="1037"/>
      <c r="W1261" s="1037"/>
      <c r="X1261" s="1037"/>
      <c r="Y1261" s="1037"/>
      <c r="Z1261" s="1037"/>
      <c r="AA1261" s="1037"/>
      <c r="AB1261" s="1037"/>
      <c r="AC1261" s="1037"/>
      <c r="AD1261" s="1037"/>
      <c r="AE1261" s="1037"/>
      <c r="AF1261" s="1037"/>
      <c r="AG1261" s="1037"/>
      <c r="AH1261" s="1037"/>
      <c r="AI1261" s="1037"/>
      <c r="AJ1261" s="1037"/>
      <c r="AK1261" s="1037"/>
      <c r="AL1261" s="1037"/>
      <c r="AM1261" s="1037"/>
      <c r="AN1261" s="1037"/>
      <c r="AO1261" s="1037"/>
      <c r="AP1261" s="1037"/>
    </row>
    <row r="1262" spans="1:42" s="226" customFormat="1">
      <c r="A1262" s="2060"/>
      <c r="B1262" s="1037"/>
      <c r="C1262" s="1037"/>
      <c r="D1262" s="1037"/>
      <c r="E1262" s="1037"/>
      <c r="F1262" s="1037"/>
      <c r="G1262" s="1037"/>
      <c r="H1262" s="1018"/>
      <c r="I1262" s="1037"/>
      <c r="J1262" s="1037"/>
      <c r="K1262" s="1037"/>
      <c r="L1262" s="1037"/>
      <c r="M1262" s="1037"/>
      <c r="N1262" s="1037"/>
      <c r="O1262" s="1037"/>
      <c r="P1262" s="1037"/>
      <c r="Q1262" s="1037"/>
      <c r="R1262" s="1037"/>
      <c r="S1262" s="1037"/>
      <c r="T1262" s="1037"/>
      <c r="U1262" s="1037"/>
      <c r="V1262" s="1037"/>
      <c r="W1262" s="1037"/>
      <c r="X1262" s="1037"/>
      <c r="Y1262" s="1037"/>
      <c r="Z1262" s="1037"/>
      <c r="AA1262" s="1037"/>
      <c r="AB1262" s="1037"/>
      <c r="AC1262" s="1037"/>
      <c r="AD1262" s="1037"/>
      <c r="AE1262" s="1037"/>
      <c r="AF1262" s="1037"/>
      <c r="AG1262" s="1037"/>
      <c r="AH1262" s="1037"/>
      <c r="AI1262" s="1037"/>
      <c r="AJ1262" s="1037"/>
      <c r="AK1262" s="1037"/>
      <c r="AL1262" s="1037"/>
      <c r="AM1262" s="1037"/>
      <c r="AN1262" s="1037"/>
      <c r="AO1262" s="1037"/>
      <c r="AP1262" s="1037"/>
    </row>
    <row r="1263" spans="1:42" s="226" customFormat="1">
      <c r="A1263" s="2060"/>
      <c r="B1263" s="1037"/>
      <c r="C1263" s="1037"/>
      <c r="D1263" s="1037"/>
      <c r="E1263" s="1037"/>
      <c r="F1263" s="1037"/>
      <c r="G1263" s="1037"/>
      <c r="H1263" s="1018"/>
      <c r="I1263" s="1037"/>
      <c r="J1263" s="1037"/>
      <c r="K1263" s="1037"/>
      <c r="L1263" s="1037"/>
      <c r="M1263" s="1037"/>
      <c r="N1263" s="1037"/>
      <c r="O1263" s="1037"/>
      <c r="P1263" s="1037"/>
      <c r="Q1263" s="1037"/>
      <c r="R1263" s="1037"/>
      <c r="S1263" s="1037"/>
      <c r="T1263" s="1037"/>
      <c r="U1263" s="1037"/>
      <c r="V1263" s="1037"/>
      <c r="W1263" s="1037"/>
      <c r="X1263" s="1037"/>
      <c r="Y1263" s="1037"/>
      <c r="Z1263" s="1037"/>
      <c r="AA1263" s="1037"/>
      <c r="AB1263" s="1037"/>
      <c r="AC1263" s="1037"/>
      <c r="AD1263" s="1037"/>
      <c r="AE1263" s="1037"/>
      <c r="AF1263" s="1037"/>
      <c r="AG1263" s="1037"/>
      <c r="AH1263" s="1037"/>
      <c r="AI1263" s="1037"/>
      <c r="AJ1263" s="1037"/>
      <c r="AK1263" s="1037"/>
      <c r="AL1263" s="1037"/>
      <c r="AM1263" s="1037"/>
      <c r="AN1263" s="1037"/>
      <c r="AO1263" s="1037"/>
      <c r="AP1263" s="1037"/>
    </row>
    <row r="1264" spans="1:42" s="226" customFormat="1">
      <c r="A1264" s="2060"/>
      <c r="B1264" s="1037"/>
      <c r="C1264" s="1037"/>
      <c r="D1264" s="1037"/>
      <c r="E1264" s="1037"/>
      <c r="F1264" s="1037"/>
      <c r="G1264" s="1037"/>
      <c r="H1264" s="1018"/>
      <c r="I1264" s="1037"/>
      <c r="J1264" s="1037"/>
      <c r="K1264" s="1037"/>
      <c r="L1264" s="1037"/>
      <c r="M1264" s="1037"/>
      <c r="N1264" s="1037"/>
      <c r="O1264" s="1037"/>
      <c r="P1264" s="1037"/>
      <c r="Q1264" s="1037"/>
      <c r="R1264" s="1037"/>
      <c r="S1264" s="1037"/>
      <c r="T1264" s="1037"/>
      <c r="U1264" s="1037"/>
      <c r="V1264" s="1037"/>
      <c r="W1264" s="1037"/>
      <c r="X1264" s="1037"/>
      <c r="Y1264" s="1037"/>
      <c r="Z1264" s="1037"/>
      <c r="AA1264" s="1037"/>
      <c r="AB1264" s="1037"/>
      <c r="AC1264" s="1037"/>
      <c r="AD1264" s="1037"/>
      <c r="AE1264" s="1037"/>
      <c r="AF1264" s="1037"/>
      <c r="AG1264" s="1037"/>
      <c r="AH1264" s="1037"/>
      <c r="AI1264" s="1037"/>
      <c r="AJ1264" s="1037"/>
      <c r="AK1264" s="1037"/>
      <c r="AL1264" s="1037"/>
      <c r="AM1264" s="1037"/>
      <c r="AN1264" s="1037"/>
      <c r="AO1264" s="1037"/>
      <c r="AP1264" s="1037"/>
    </row>
    <row r="1265" spans="1:42" s="226" customFormat="1">
      <c r="A1265" s="2060"/>
      <c r="B1265" s="1037"/>
      <c r="C1265" s="1037"/>
      <c r="D1265" s="1037"/>
      <c r="E1265" s="1037"/>
      <c r="F1265" s="1037"/>
      <c r="G1265" s="1037"/>
      <c r="H1265" s="1018"/>
      <c r="I1265" s="1037"/>
      <c r="J1265" s="1037"/>
      <c r="K1265" s="1037"/>
      <c r="L1265" s="1037"/>
      <c r="M1265" s="1037"/>
      <c r="N1265" s="1037"/>
      <c r="O1265" s="1037"/>
      <c r="P1265" s="1037"/>
      <c r="Q1265" s="1037"/>
      <c r="R1265" s="1037"/>
      <c r="S1265" s="1037"/>
      <c r="T1265" s="1037"/>
      <c r="U1265" s="1037"/>
      <c r="V1265" s="1037"/>
      <c r="W1265" s="1037"/>
      <c r="X1265" s="1037"/>
      <c r="Y1265" s="1037"/>
      <c r="Z1265" s="1037"/>
      <c r="AA1265" s="1037"/>
      <c r="AB1265" s="1037"/>
      <c r="AC1265" s="1037"/>
      <c r="AD1265" s="1037"/>
      <c r="AE1265" s="1037"/>
      <c r="AF1265" s="1037"/>
      <c r="AG1265" s="1037"/>
      <c r="AH1265" s="1037"/>
      <c r="AI1265" s="1037"/>
      <c r="AJ1265" s="1037"/>
      <c r="AK1265" s="1037"/>
      <c r="AL1265" s="1037"/>
      <c r="AM1265" s="1037"/>
      <c r="AN1265" s="1037"/>
      <c r="AO1265" s="1037"/>
      <c r="AP1265" s="1037"/>
    </row>
    <row r="1266" spans="1:42" s="226" customFormat="1">
      <c r="A1266" s="2060"/>
      <c r="B1266" s="1037"/>
      <c r="C1266" s="1037"/>
      <c r="D1266" s="1037"/>
      <c r="E1266" s="1037"/>
      <c r="F1266" s="1037"/>
      <c r="G1266" s="1037"/>
      <c r="H1266" s="1018"/>
      <c r="I1266" s="1037"/>
      <c r="J1266" s="1037"/>
      <c r="K1266" s="1037"/>
      <c r="L1266" s="1037"/>
      <c r="M1266" s="1037"/>
      <c r="N1266" s="1037"/>
      <c r="O1266" s="1037"/>
      <c r="P1266" s="1037"/>
      <c r="Q1266" s="1037"/>
      <c r="R1266" s="1037"/>
      <c r="S1266" s="1037"/>
      <c r="T1266" s="1037"/>
      <c r="U1266" s="1037"/>
      <c r="V1266" s="1037"/>
      <c r="W1266" s="1037"/>
      <c r="X1266" s="1037"/>
      <c r="Y1266" s="1037"/>
      <c r="Z1266" s="1037"/>
      <c r="AA1266" s="1037"/>
      <c r="AB1266" s="1037"/>
      <c r="AC1266" s="1037"/>
      <c r="AD1266" s="1037"/>
      <c r="AE1266" s="1037"/>
      <c r="AF1266" s="1037"/>
      <c r="AG1266" s="1037"/>
      <c r="AH1266" s="1037"/>
      <c r="AI1266" s="1037"/>
      <c r="AJ1266" s="1037"/>
      <c r="AK1266" s="1037"/>
      <c r="AL1266" s="1037"/>
      <c r="AM1266" s="1037"/>
      <c r="AN1266" s="1037"/>
      <c r="AO1266" s="1037"/>
      <c r="AP1266" s="1037"/>
    </row>
    <row r="1267" spans="1:42" s="226" customFormat="1">
      <c r="A1267" s="2060"/>
      <c r="B1267" s="1037"/>
      <c r="C1267" s="1037"/>
      <c r="D1267" s="1037"/>
      <c r="E1267" s="1037"/>
      <c r="F1267" s="1037"/>
      <c r="G1267" s="1037"/>
      <c r="H1267" s="1018"/>
      <c r="I1267" s="1037"/>
      <c r="J1267" s="1037"/>
      <c r="K1267" s="1037"/>
      <c r="L1267" s="1037"/>
      <c r="M1267" s="1037"/>
      <c r="N1267" s="1037"/>
      <c r="O1267" s="1037"/>
      <c r="P1267" s="1037"/>
      <c r="Q1267" s="1037"/>
      <c r="R1267" s="1037"/>
      <c r="S1267" s="1037"/>
      <c r="T1267" s="1037"/>
      <c r="U1267" s="1037"/>
      <c r="V1267" s="1037"/>
      <c r="W1267" s="1037"/>
      <c r="X1267" s="1037"/>
      <c r="Y1267" s="1037"/>
      <c r="Z1267" s="1037"/>
      <c r="AA1267" s="1037"/>
      <c r="AB1267" s="1037"/>
      <c r="AC1267" s="1037"/>
      <c r="AD1267" s="1037"/>
      <c r="AE1267" s="1037"/>
      <c r="AF1267" s="1037"/>
      <c r="AG1267" s="1037"/>
      <c r="AH1267" s="1037"/>
      <c r="AI1267" s="1037"/>
      <c r="AJ1267" s="1037"/>
      <c r="AK1267" s="1037"/>
      <c r="AL1267" s="1037"/>
      <c r="AM1267" s="1037"/>
      <c r="AN1267" s="1037"/>
      <c r="AO1267" s="1037"/>
      <c r="AP1267" s="1037"/>
    </row>
    <row r="1268" spans="1:42" s="226" customFormat="1">
      <c r="A1268" s="2060"/>
      <c r="B1268" s="1037"/>
      <c r="C1268" s="1037"/>
      <c r="D1268" s="1037"/>
      <c r="E1268" s="1037"/>
      <c r="F1268" s="1037"/>
      <c r="G1268" s="1037"/>
      <c r="H1268" s="1018"/>
      <c r="I1268" s="1037"/>
      <c r="J1268" s="1037"/>
      <c r="K1268" s="1037"/>
      <c r="L1268" s="1037"/>
      <c r="M1268" s="1037"/>
      <c r="N1268" s="1037"/>
      <c r="O1268" s="1037"/>
      <c r="P1268" s="1037"/>
      <c r="Q1268" s="1037"/>
      <c r="R1268" s="1037"/>
      <c r="S1268" s="1037"/>
      <c r="T1268" s="1037"/>
      <c r="U1268" s="1037"/>
      <c r="V1268" s="1037"/>
      <c r="W1268" s="1037"/>
      <c r="X1268" s="1037"/>
      <c r="Y1268" s="1037"/>
      <c r="Z1268" s="1037"/>
      <c r="AA1268" s="1037"/>
      <c r="AB1268" s="1037"/>
      <c r="AC1268" s="1037"/>
      <c r="AD1268" s="1037"/>
      <c r="AE1268" s="1037"/>
      <c r="AF1268" s="1037"/>
      <c r="AG1268" s="1037"/>
      <c r="AH1268" s="1037"/>
      <c r="AI1268" s="1037"/>
      <c r="AJ1268" s="1037"/>
      <c r="AK1268" s="1037"/>
      <c r="AL1268" s="1037"/>
      <c r="AM1268" s="1037"/>
      <c r="AN1268" s="1037"/>
      <c r="AO1268" s="1037"/>
      <c r="AP1268" s="1037"/>
    </row>
    <row r="1269" spans="1:42" s="226" customFormat="1">
      <c r="A1269" s="2060"/>
      <c r="B1269" s="1037"/>
      <c r="C1269" s="1037"/>
      <c r="D1269" s="1037"/>
      <c r="E1269" s="1037"/>
      <c r="F1269" s="1037"/>
      <c r="G1269" s="1037"/>
      <c r="H1269" s="1018"/>
      <c r="I1269" s="1037"/>
      <c r="J1269" s="1037"/>
      <c r="K1269" s="1037"/>
      <c r="L1269" s="1037"/>
      <c r="M1269" s="1037"/>
      <c r="N1269" s="1037"/>
      <c r="O1269" s="1037"/>
      <c r="P1269" s="1037"/>
      <c r="Q1269" s="1037"/>
      <c r="R1269" s="1037"/>
      <c r="S1269" s="1037"/>
      <c r="T1269" s="1037"/>
      <c r="U1269" s="1037"/>
      <c r="V1269" s="1037"/>
      <c r="W1269" s="1037"/>
      <c r="X1269" s="1037"/>
      <c r="Y1269" s="1037"/>
      <c r="Z1269" s="1037"/>
      <c r="AA1269" s="1037"/>
      <c r="AB1269" s="1037"/>
      <c r="AC1269" s="1037"/>
      <c r="AD1269" s="1037"/>
      <c r="AE1269" s="1037"/>
      <c r="AF1269" s="1037"/>
      <c r="AG1269" s="1037"/>
      <c r="AH1269" s="1037"/>
      <c r="AI1269" s="1037"/>
      <c r="AJ1269" s="1037"/>
      <c r="AK1269" s="1037"/>
      <c r="AL1269" s="1037"/>
      <c r="AM1269" s="1037"/>
      <c r="AN1269" s="1037"/>
      <c r="AO1269" s="1037"/>
      <c r="AP1269" s="1037"/>
    </row>
    <row r="1270" spans="1:42" s="226" customFormat="1">
      <c r="A1270" s="2060"/>
      <c r="B1270" s="1037"/>
      <c r="C1270" s="1037"/>
      <c r="D1270" s="1037"/>
      <c r="E1270" s="1037"/>
      <c r="F1270" s="1037"/>
      <c r="G1270" s="1037"/>
      <c r="H1270" s="1018"/>
      <c r="I1270" s="1037"/>
      <c r="J1270" s="1037"/>
      <c r="K1270" s="1037"/>
      <c r="L1270" s="1037"/>
      <c r="M1270" s="1037"/>
      <c r="N1270" s="1037"/>
      <c r="O1270" s="1037"/>
      <c r="P1270" s="1037"/>
      <c r="Q1270" s="1037"/>
      <c r="R1270" s="1037"/>
      <c r="S1270" s="1037"/>
      <c r="T1270" s="1037"/>
      <c r="U1270" s="1037"/>
      <c r="V1270" s="1037"/>
      <c r="W1270" s="1037"/>
      <c r="X1270" s="1037"/>
      <c r="Y1270" s="1037"/>
      <c r="Z1270" s="1037"/>
      <c r="AA1270" s="1037"/>
      <c r="AB1270" s="1037"/>
      <c r="AC1270" s="1037"/>
      <c r="AD1270" s="1037"/>
      <c r="AE1270" s="1037"/>
      <c r="AF1270" s="1037"/>
      <c r="AG1270" s="1037"/>
      <c r="AH1270" s="1037"/>
      <c r="AI1270" s="1037"/>
      <c r="AJ1270" s="1037"/>
      <c r="AK1270" s="1037"/>
      <c r="AL1270" s="1037"/>
      <c r="AM1270" s="1037"/>
      <c r="AN1270" s="1037"/>
      <c r="AO1270" s="1037"/>
      <c r="AP1270" s="1037"/>
    </row>
    <row r="1271" spans="1:42" s="226" customFormat="1">
      <c r="A1271" s="2060"/>
      <c r="B1271" s="1037"/>
      <c r="C1271" s="1037"/>
      <c r="D1271" s="1037"/>
      <c r="E1271" s="1037"/>
      <c r="F1271" s="1037"/>
      <c r="G1271" s="1037"/>
      <c r="H1271" s="1018"/>
      <c r="I1271" s="1037"/>
      <c r="J1271" s="1037"/>
      <c r="K1271" s="1037"/>
      <c r="L1271" s="1037"/>
      <c r="M1271" s="1037"/>
      <c r="N1271" s="1037"/>
      <c r="O1271" s="1037"/>
      <c r="P1271" s="1037"/>
      <c r="Q1271" s="1037"/>
      <c r="R1271" s="1037"/>
      <c r="S1271" s="1037"/>
      <c r="T1271" s="1037"/>
      <c r="U1271" s="1037"/>
      <c r="V1271" s="1037"/>
      <c r="W1271" s="1037"/>
      <c r="X1271" s="1037"/>
      <c r="Y1271" s="1037"/>
      <c r="Z1271" s="1037"/>
      <c r="AA1271" s="1037"/>
      <c r="AB1271" s="1037"/>
      <c r="AC1271" s="1037"/>
      <c r="AD1271" s="1037"/>
      <c r="AE1271" s="1037"/>
      <c r="AF1271" s="1037"/>
      <c r="AG1271" s="1037"/>
      <c r="AH1271" s="1037"/>
      <c r="AI1271" s="1037"/>
      <c r="AJ1271" s="1037"/>
      <c r="AK1271" s="1037"/>
      <c r="AL1271" s="1037"/>
      <c r="AM1271" s="1037"/>
      <c r="AN1271" s="1037"/>
      <c r="AO1271" s="1037"/>
      <c r="AP1271" s="1037"/>
    </row>
    <row r="1272" spans="1:42" s="226" customFormat="1">
      <c r="A1272" s="2060"/>
      <c r="B1272" s="1037"/>
      <c r="C1272" s="1037"/>
      <c r="D1272" s="1037"/>
      <c r="E1272" s="1037"/>
      <c r="F1272" s="1037"/>
      <c r="G1272" s="1037"/>
      <c r="H1272" s="1018"/>
      <c r="I1272" s="1037"/>
      <c r="J1272" s="1037"/>
      <c r="K1272" s="1037"/>
      <c r="L1272" s="1037"/>
      <c r="M1272" s="1037"/>
      <c r="N1272" s="1037"/>
      <c r="O1272" s="1037"/>
      <c r="P1272" s="1037"/>
      <c r="Q1272" s="1037"/>
      <c r="R1272" s="1037"/>
      <c r="S1272" s="1037"/>
      <c r="T1272" s="1037"/>
      <c r="U1272" s="1037"/>
      <c r="V1272" s="1037"/>
      <c r="W1272" s="1037"/>
      <c r="X1272" s="1037"/>
      <c r="Y1272" s="1037"/>
      <c r="Z1272" s="1037"/>
      <c r="AA1272" s="1037"/>
      <c r="AB1272" s="1037"/>
      <c r="AC1272" s="1037"/>
      <c r="AD1272" s="1037"/>
      <c r="AE1272" s="1037"/>
      <c r="AF1272" s="1037"/>
      <c r="AG1272" s="1037"/>
      <c r="AH1272" s="1037"/>
      <c r="AI1272" s="1037"/>
      <c r="AJ1272" s="1037"/>
      <c r="AK1272" s="1037"/>
      <c r="AL1272" s="1037"/>
      <c r="AM1272" s="1037"/>
      <c r="AN1272" s="1037"/>
      <c r="AO1272" s="1037"/>
      <c r="AP1272" s="1037"/>
    </row>
    <row r="1273" spans="1:42" s="226" customFormat="1">
      <c r="A1273" s="2060"/>
      <c r="B1273" s="1037"/>
      <c r="C1273" s="1037"/>
      <c r="D1273" s="1037"/>
      <c r="E1273" s="1037"/>
      <c r="F1273" s="1037"/>
      <c r="G1273" s="1037"/>
      <c r="H1273" s="1018"/>
      <c r="I1273" s="1037"/>
      <c r="J1273" s="1037"/>
      <c r="K1273" s="1037"/>
      <c r="L1273" s="1037"/>
      <c r="M1273" s="1037"/>
      <c r="N1273" s="1037"/>
      <c r="O1273" s="1037"/>
      <c r="P1273" s="1037"/>
      <c r="Q1273" s="1037"/>
      <c r="R1273" s="1037"/>
      <c r="S1273" s="1037"/>
      <c r="T1273" s="1037"/>
      <c r="U1273" s="1037"/>
      <c r="V1273" s="1037"/>
      <c r="W1273" s="1037"/>
      <c r="X1273" s="1037"/>
      <c r="Y1273" s="1037"/>
      <c r="Z1273" s="1037"/>
      <c r="AA1273" s="1037"/>
      <c r="AB1273" s="1037"/>
      <c r="AC1273" s="1037"/>
      <c r="AD1273" s="1037"/>
      <c r="AE1273" s="1037"/>
      <c r="AF1273" s="1037"/>
      <c r="AG1273" s="1037"/>
      <c r="AH1273" s="1037"/>
      <c r="AI1273" s="1037"/>
      <c r="AJ1273" s="1037"/>
      <c r="AK1273" s="1037"/>
      <c r="AL1273" s="1037"/>
      <c r="AM1273" s="1037"/>
      <c r="AN1273" s="1037"/>
      <c r="AO1273" s="1037"/>
      <c r="AP1273" s="1037"/>
    </row>
    <row r="1274" spans="1:42" s="226" customFormat="1">
      <c r="A1274" s="2060"/>
      <c r="B1274" s="1037"/>
      <c r="C1274" s="1037"/>
      <c r="D1274" s="1037"/>
      <c r="E1274" s="1037"/>
      <c r="F1274" s="1037"/>
      <c r="G1274" s="1037"/>
      <c r="H1274" s="1018"/>
      <c r="I1274" s="1037"/>
      <c r="J1274" s="1037"/>
      <c r="K1274" s="1037"/>
      <c r="L1274" s="1037"/>
      <c r="M1274" s="1037"/>
      <c r="N1274" s="1037"/>
      <c r="O1274" s="1037"/>
      <c r="P1274" s="1037"/>
      <c r="Q1274" s="1037"/>
      <c r="R1274" s="1037"/>
      <c r="S1274" s="1037"/>
      <c r="T1274" s="1037"/>
      <c r="U1274" s="1037"/>
      <c r="V1274" s="1037"/>
      <c r="W1274" s="1037"/>
      <c r="X1274" s="1037"/>
      <c r="Y1274" s="1037"/>
      <c r="Z1274" s="1037"/>
      <c r="AA1274" s="1037"/>
      <c r="AB1274" s="1037"/>
      <c r="AC1274" s="1037"/>
      <c r="AD1274" s="1037"/>
      <c r="AE1274" s="1037"/>
      <c r="AF1274" s="1037"/>
      <c r="AG1274" s="1037"/>
      <c r="AH1274" s="1037"/>
      <c r="AI1274" s="1037"/>
      <c r="AJ1274" s="1037"/>
      <c r="AK1274" s="1037"/>
      <c r="AL1274" s="1037"/>
      <c r="AM1274" s="1037"/>
      <c r="AN1274" s="1037"/>
      <c r="AO1274" s="1037"/>
      <c r="AP1274" s="1037"/>
    </row>
    <row r="1275" spans="1:42" s="226" customFormat="1">
      <c r="A1275" s="2060"/>
      <c r="B1275" s="1037"/>
      <c r="C1275" s="1037"/>
      <c r="D1275" s="1037"/>
      <c r="E1275" s="1037"/>
      <c r="F1275" s="1037"/>
      <c r="G1275" s="1037"/>
      <c r="H1275" s="1018"/>
      <c r="I1275" s="1037"/>
      <c r="J1275" s="1037"/>
      <c r="K1275" s="1037"/>
      <c r="L1275" s="1037"/>
      <c r="M1275" s="1037"/>
      <c r="N1275" s="1037"/>
      <c r="O1275" s="1037"/>
      <c r="P1275" s="1037"/>
      <c r="Q1275" s="1037"/>
      <c r="R1275" s="1037"/>
      <c r="S1275" s="1037"/>
      <c r="T1275" s="1037"/>
      <c r="U1275" s="1037"/>
      <c r="V1275" s="1037"/>
      <c r="W1275" s="1037"/>
      <c r="X1275" s="1037"/>
      <c r="Y1275" s="1037"/>
      <c r="Z1275" s="1037"/>
      <c r="AA1275" s="1037"/>
      <c r="AB1275" s="1037"/>
      <c r="AC1275" s="1037"/>
      <c r="AD1275" s="1037"/>
      <c r="AE1275" s="1037"/>
      <c r="AF1275" s="1037"/>
      <c r="AG1275" s="1037"/>
      <c r="AH1275" s="1037"/>
      <c r="AI1275" s="1037"/>
      <c r="AJ1275" s="1037"/>
      <c r="AK1275" s="1037"/>
      <c r="AL1275" s="1037"/>
      <c r="AM1275" s="1037"/>
      <c r="AN1275" s="1037"/>
      <c r="AO1275" s="1037"/>
      <c r="AP1275" s="1037"/>
    </row>
    <row r="1276" spans="1:42" s="226" customFormat="1">
      <c r="A1276" s="2060"/>
      <c r="B1276" s="1037"/>
      <c r="C1276" s="1037"/>
      <c r="D1276" s="1037"/>
      <c r="E1276" s="1037"/>
      <c r="F1276" s="1037"/>
      <c r="G1276" s="1037"/>
      <c r="H1276" s="1018"/>
      <c r="I1276" s="1037"/>
      <c r="J1276" s="1037"/>
      <c r="K1276" s="1037"/>
      <c r="L1276" s="1037"/>
      <c r="M1276" s="1037"/>
      <c r="N1276" s="1037"/>
      <c r="O1276" s="1037"/>
      <c r="P1276" s="1037"/>
      <c r="Q1276" s="1037"/>
      <c r="R1276" s="1037"/>
      <c r="S1276" s="1037"/>
      <c r="T1276" s="1037"/>
      <c r="U1276" s="1037"/>
      <c r="V1276" s="1037"/>
      <c r="W1276" s="1037"/>
      <c r="X1276" s="1037"/>
      <c r="Y1276" s="1037"/>
      <c r="Z1276" s="1037"/>
      <c r="AA1276" s="1037"/>
      <c r="AB1276" s="1037"/>
      <c r="AC1276" s="1037"/>
      <c r="AD1276" s="1037"/>
      <c r="AE1276" s="1037"/>
      <c r="AF1276" s="1037"/>
      <c r="AG1276" s="1037"/>
      <c r="AH1276" s="1037"/>
      <c r="AI1276" s="1037"/>
      <c r="AJ1276" s="1037"/>
      <c r="AK1276" s="1037"/>
      <c r="AL1276" s="1037"/>
      <c r="AM1276" s="1037"/>
      <c r="AN1276" s="1037"/>
      <c r="AO1276" s="1037"/>
      <c r="AP1276" s="1037"/>
    </row>
    <row r="1277" spans="1:42" s="226" customFormat="1">
      <c r="A1277" s="2060"/>
      <c r="B1277" s="1037"/>
      <c r="C1277" s="1037"/>
      <c r="D1277" s="1037"/>
      <c r="E1277" s="1037"/>
      <c r="F1277" s="1037"/>
      <c r="G1277" s="1037"/>
      <c r="H1277" s="1018"/>
      <c r="I1277" s="1037"/>
      <c r="J1277" s="1037"/>
      <c r="K1277" s="1037"/>
      <c r="L1277" s="1037"/>
      <c r="M1277" s="1037"/>
      <c r="N1277" s="1037"/>
      <c r="O1277" s="1037"/>
      <c r="P1277" s="1037"/>
      <c r="Q1277" s="1037"/>
      <c r="R1277" s="1037"/>
      <c r="S1277" s="1037"/>
      <c r="T1277" s="1037"/>
      <c r="U1277" s="1037"/>
      <c r="V1277" s="1037"/>
      <c r="W1277" s="1037"/>
      <c r="X1277" s="1037"/>
      <c r="Y1277" s="1037"/>
      <c r="Z1277" s="1037"/>
      <c r="AA1277" s="1037"/>
      <c r="AB1277" s="1037"/>
      <c r="AC1277" s="1037"/>
      <c r="AD1277" s="1037"/>
      <c r="AE1277" s="1037"/>
      <c r="AF1277" s="1037"/>
      <c r="AG1277" s="1037"/>
      <c r="AH1277" s="1037"/>
      <c r="AI1277" s="1037"/>
      <c r="AJ1277" s="1037"/>
      <c r="AK1277" s="1037"/>
      <c r="AL1277" s="1037"/>
      <c r="AM1277" s="1037"/>
      <c r="AN1277" s="1037"/>
      <c r="AO1277" s="1037"/>
      <c r="AP1277" s="1037"/>
    </row>
    <row r="1278" spans="1:42" s="226" customFormat="1">
      <c r="A1278" s="2060"/>
      <c r="B1278" s="1037"/>
      <c r="C1278" s="1037"/>
      <c r="D1278" s="1037"/>
      <c r="E1278" s="1037"/>
      <c r="F1278" s="1037"/>
      <c r="G1278" s="1037"/>
      <c r="H1278" s="1018"/>
      <c r="I1278" s="1037"/>
      <c r="J1278" s="1037"/>
      <c r="K1278" s="1037"/>
      <c r="L1278" s="1037"/>
      <c r="M1278" s="1037"/>
      <c r="N1278" s="1037"/>
      <c r="O1278" s="1037"/>
      <c r="P1278" s="1037"/>
      <c r="Q1278" s="1037"/>
      <c r="R1278" s="1037"/>
      <c r="S1278" s="1037"/>
      <c r="T1278" s="1037"/>
      <c r="U1278" s="1037"/>
      <c r="V1278" s="1037"/>
      <c r="W1278" s="1037"/>
      <c r="X1278" s="1037"/>
      <c r="Y1278" s="1037"/>
      <c r="Z1278" s="1037"/>
      <c r="AA1278" s="1037"/>
      <c r="AB1278" s="1037"/>
      <c r="AC1278" s="1037"/>
      <c r="AD1278" s="1037"/>
      <c r="AE1278" s="1037"/>
      <c r="AF1278" s="1037"/>
      <c r="AG1278" s="1037"/>
      <c r="AH1278" s="1037"/>
      <c r="AI1278" s="1037"/>
      <c r="AJ1278" s="1037"/>
      <c r="AK1278" s="1037"/>
      <c r="AL1278" s="1037"/>
      <c r="AM1278" s="1037"/>
      <c r="AN1278" s="1037"/>
      <c r="AO1278" s="1037"/>
      <c r="AP1278" s="1037"/>
    </row>
    <row r="1279" spans="1:42" s="226" customFormat="1">
      <c r="A1279" s="2060"/>
      <c r="B1279" s="1037"/>
      <c r="C1279" s="1037"/>
      <c r="D1279" s="1037"/>
      <c r="E1279" s="1037"/>
      <c r="F1279" s="1037"/>
      <c r="G1279" s="1037"/>
      <c r="H1279" s="1018"/>
      <c r="I1279" s="1037"/>
      <c r="J1279" s="1037"/>
      <c r="K1279" s="1037"/>
      <c r="L1279" s="1037"/>
      <c r="M1279" s="1037"/>
      <c r="N1279" s="1037"/>
      <c r="O1279" s="1037"/>
      <c r="P1279" s="1037"/>
      <c r="Q1279" s="1037"/>
      <c r="R1279" s="1037"/>
      <c r="S1279" s="1037"/>
      <c r="T1279" s="1037"/>
      <c r="U1279" s="1037"/>
      <c r="V1279" s="1037"/>
      <c r="W1279" s="1037"/>
      <c r="X1279" s="1037"/>
      <c r="Y1279" s="1037"/>
      <c r="Z1279" s="1037"/>
      <c r="AA1279" s="1037"/>
      <c r="AB1279" s="1037"/>
      <c r="AC1279" s="1037"/>
      <c r="AD1279" s="1037"/>
      <c r="AE1279" s="1037"/>
      <c r="AF1279" s="1037"/>
      <c r="AG1279" s="1037"/>
      <c r="AH1279" s="1037"/>
      <c r="AI1279" s="1037"/>
      <c r="AJ1279" s="1037"/>
      <c r="AK1279" s="1037"/>
      <c r="AL1279" s="1037"/>
      <c r="AM1279" s="1037"/>
      <c r="AN1279" s="1037"/>
      <c r="AO1279" s="1037"/>
      <c r="AP1279" s="1037"/>
    </row>
    <row r="1280" spans="1:42" s="226" customFormat="1">
      <c r="A1280" s="2060"/>
      <c r="B1280" s="1037"/>
      <c r="C1280" s="1037"/>
      <c r="D1280" s="1037"/>
      <c r="E1280" s="1037"/>
      <c r="F1280" s="1037"/>
      <c r="G1280" s="1037"/>
      <c r="H1280" s="1018"/>
      <c r="I1280" s="1037"/>
      <c r="J1280" s="1037"/>
      <c r="K1280" s="1037"/>
      <c r="L1280" s="1037"/>
      <c r="M1280" s="1037"/>
      <c r="N1280" s="1037"/>
      <c r="O1280" s="1037"/>
      <c r="P1280" s="1037"/>
      <c r="Q1280" s="1037"/>
      <c r="R1280" s="1037"/>
      <c r="S1280" s="1037"/>
      <c r="T1280" s="1037"/>
      <c r="U1280" s="1037"/>
      <c r="V1280" s="1037"/>
      <c r="W1280" s="1037"/>
      <c r="X1280" s="1037"/>
      <c r="Y1280" s="1037"/>
      <c r="Z1280" s="1037"/>
      <c r="AA1280" s="1037"/>
      <c r="AB1280" s="1037"/>
      <c r="AC1280" s="1037"/>
      <c r="AD1280" s="1037"/>
      <c r="AE1280" s="1037"/>
      <c r="AF1280" s="1037"/>
      <c r="AG1280" s="1037"/>
      <c r="AH1280" s="1037"/>
      <c r="AI1280" s="1037"/>
      <c r="AJ1280" s="1037"/>
      <c r="AK1280" s="1037"/>
      <c r="AL1280" s="1037"/>
      <c r="AM1280" s="1037"/>
      <c r="AN1280" s="1037"/>
      <c r="AO1280" s="1037"/>
      <c r="AP1280" s="1037"/>
    </row>
    <row r="1281" spans="1:42" s="226" customFormat="1">
      <c r="A1281" s="2060"/>
      <c r="B1281" s="1037"/>
      <c r="C1281" s="1037"/>
      <c r="D1281" s="1037"/>
      <c r="E1281" s="1037"/>
      <c r="F1281" s="1037"/>
      <c r="G1281" s="1037"/>
      <c r="H1281" s="1018"/>
      <c r="I1281" s="1037"/>
      <c r="J1281" s="1037"/>
      <c r="K1281" s="1037"/>
      <c r="L1281" s="1037"/>
      <c r="M1281" s="1037"/>
      <c r="N1281" s="1037"/>
      <c r="O1281" s="1037"/>
      <c r="P1281" s="1037"/>
      <c r="Q1281" s="1037"/>
      <c r="R1281" s="1037"/>
      <c r="S1281" s="1037"/>
      <c r="T1281" s="1037"/>
      <c r="U1281" s="1037"/>
      <c r="V1281" s="1037"/>
      <c r="W1281" s="1037"/>
      <c r="X1281" s="1037"/>
      <c r="Y1281" s="1037"/>
      <c r="Z1281" s="1037"/>
      <c r="AA1281" s="1037"/>
      <c r="AB1281" s="1037"/>
      <c r="AC1281" s="1037"/>
      <c r="AD1281" s="1037"/>
      <c r="AE1281" s="1037"/>
      <c r="AF1281" s="1037"/>
      <c r="AG1281" s="1037"/>
      <c r="AH1281" s="1037"/>
      <c r="AI1281" s="1037"/>
      <c r="AJ1281" s="1037"/>
      <c r="AK1281" s="1037"/>
      <c r="AL1281" s="1037"/>
      <c r="AM1281" s="1037"/>
      <c r="AN1281" s="1037"/>
      <c r="AO1281" s="1037"/>
      <c r="AP1281" s="1037"/>
    </row>
    <row r="1282" spans="1:42" s="226" customFormat="1">
      <c r="A1282" s="2060"/>
      <c r="B1282" s="1037"/>
      <c r="C1282" s="1037"/>
      <c r="D1282" s="1037"/>
      <c r="E1282" s="1037"/>
      <c r="F1282" s="1037"/>
      <c r="G1282" s="1037"/>
      <c r="H1282" s="1018"/>
      <c r="I1282" s="1037"/>
      <c r="J1282" s="1037"/>
      <c r="K1282" s="1037"/>
      <c r="L1282" s="1037"/>
      <c r="M1282" s="1037"/>
      <c r="N1282" s="1037"/>
      <c r="O1282" s="1037"/>
      <c r="P1282" s="1037"/>
      <c r="Q1282" s="1037"/>
      <c r="R1282" s="1037"/>
      <c r="S1282" s="1037"/>
      <c r="T1282" s="1037"/>
      <c r="U1282" s="1037"/>
      <c r="V1282" s="1037"/>
      <c r="W1282" s="1037"/>
      <c r="X1282" s="1037"/>
      <c r="Y1282" s="1037"/>
      <c r="Z1282" s="1037"/>
      <c r="AA1282" s="1037"/>
      <c r="AB1282" s="1037"/>
      <c r="AC1282" s="1037"/>
      <c r="AD1282" s="1037"/>
      <c r="AE1282" s="1037"/>
      <c r="AF1282" s="1037"/>
      <c r="AG1282" s="1037"/>
      <c r="AH1282" s="1037"/>
      <c r="AI1282" s="1037"/>
      <c r="AJ1282" s="1037"/>
      <c r="AK1282" s="1037"/>
      <c r="AL1282" s="1037"/>
      <c r="AM1282" s="1037"/>
      <c r="AN1282" s="1037"/>
      <c r="AO1282" s="1037"/>
      <c r="AP1282" s="1037"/>
    </row>
    <row r="1283" spans="1:42" s="226" customFormat="1">
      <c r="A1283" s="2060"/>
      <c r="B1283" s="1037"/>
      <c r="C1283" s="1037"/>
      <c r="D1283" s="1037"/>
      <c r="E1283" s="1037"/>
      <c r="F1283" s="1037"/>
      <c r="G1283" s="1037"/>
      <c r="H1283" s="1018"/>
      <c r="I1283" s="1037"/>
      <c r="J1283" s="1037"/>
      <c r="K1283" s="1037"/>
      <c r="L1283" s="1037"/>
      <c r="M1283" s="1037"/>
      <c r="N1283" s="1037"/>
      <c r="O1283" s="1037"/>
      <c r="P1283" s="1037"/>
      <c r="Q1283" s="1037"/>
      <c r="R1283" s="1037"/>
      <c r="S1283" s="1037"/>
      <c r="T1283" s="1037"/>
      <c r="U1283" s="1037"/>
      <c r="V1283" s="1037"/>
      <c r="W1283" s="1037"/>
      <c r="X1283" s="1037"/>
      <c r="Y1283" s="1037"/>
      <c r="Z1283" s="1037"/>
      <c r="AA1283" s="1037"/>
      <c r="AB1283" s="1037"/>
      <c r="AC1283" s="1037"/>
      <c r="AD1283" s="1037"/>
      <c r="AE1283" s="1037"/>
      <c r="AF1283" s="1037"/>
      <c r="AG1283" s="1037"/>
      <c r="AH1283" s="1037"/>
      <c r="AI1283" s="1037"/>
      <c r="AJ1283" s="1037"/>
      <c r="AK1283" s="1037"/>
      <c r="AL1283" s="1037"/>
      <c r="AM1283" s="1037"/>
      <c r="AN1283" s="1037"/>
      <c r="AO1283" s="1037"/>
      <c r="AP1283" s="1037"/>
    </row>
    <row r="1284" spans="1:42" s="226" customFormat="1">
      <c r="A1284" s="2060"/>
      <c r="B1284" s="1037"/>
      <c r="C1284" s="1037"/>
      <c r="D1284" s="1037"/>
      <c r="E1284" s="1037"/>
      <c r="F1284" s="1037"/>
      <c r="G1284" s="1037"/>
      <c r="H1284" s="1018"/>
      <c r="I1284" s="1037"/>
      <c r="J1284" s="1037"/>
      <c r="K1284" s="1037"/>
      <c r="L1284" s="1037"/>
      <c r="M1284" s="1037"/>
      <c r="N1284" s="1037"/>
      <c r="O1284" s="1037"/>
      <c r="P1284" s="1037"/>
      <c r="Q1284" s="1037"/>
      <c r="R1284" s="1037"/>
      <c r="S1284" s="1037"/>
      <c r="T1284" s="1037"/>
      <c r="U1284" s="1037"/>
      <c r="V1284" s="1037"/>
      <c r="W1284" s="1037"/>
      <c r="X1284" s="1037"/>
      <c r="Y1284" s="1037"/>
      <c r="Z1284" s="1037"/>
      <c r="AA1284" s="1037"/>
      <c r="AB1284" s="1037"/>
      <c r="AC1284" s="1037"/>
      <c r="AD1284" s="1037"/>
      <c r="AE1284" s="1037"/>
      <c r="AF1284" s="1037"/>
      <c r="AG1284" s="1037"/>
      <c r="AH1284" s="1037"/>
      <c r="AI1284" s="1037"/>
      <c r="AJ1284" s="1037"/>
      <c r="AK1284" s="1037"/>
      <c r="AL1284" s="1037"/>
      <c r="AM1284" s="1037"/>
      <c r="AN1284" s="1037"/>
      <c r="AO1284" s="1037"/>
      <c r="AP1284" s="1037"/>
    </row>
    <row r="1285" spans="1:42" s="226" customFormat="1">
      <c r="A1285" s="2060"/>
      <c r="B1285" s="1037"/>
      <c r="C1285" s="1037"/>
      <c r="D1285" s="1037"/>
      <c r="E1285" s="1037"/>
      <c r="F1285" s="1037"/>
      <c r="G1285" s="1037"/>
      <c r="H1285" s="1018"/>
      <c r="I1285" s="1037"/>
      <c r="J1285" s="1037"/>
      <c r="K1285" s="1037"/>
      <c r="L1285" s="1037"/>
      <c r="M1285" s="1037"/>
      <c r="N1285" s="1037"/>
      <c r="O1285" s="1037"/>
      <c r="P1285" s="1037"/>
      <c r="Q1285" s="1037"/>
      <c r="R1285" s="1037"/>
      <c r="S1285" s="1037"/>
      <c r="T1285" s="1037"/>
      <c r="U1285" s="1037"/>
      <c r="V1285" s="1037"/>
      <c r="W1285" s="1037"/>
      <c r="X1285" s="1037"/>
      <c r="Y1285" s="1037"/>
      <c r="Z1285" s="1037"/>
      <c r="AA1285" s="1037"/>
      <c r="AB1285" s="1037"/>
      <c r="AC1285" s="1037"/>
      <c r="AD1285" s="1037"/>
      <c r="AE1285" s="1037"/>
      <c r="AF1285" s="1037"/>
      <c r="AG1285" s="1037"/>
      <c r="AH1285" s="1037"/>
      <c r="AI1285" s="1037"/>
      <c r="AJ1285" s="1037"/>
      <c r="AK1285" s="1037"/>
      <c r="AL1285" s="1037"/>
      <c r="AM1285" s="1037"/>
      <c r="AN1285" s="1037"/>
      <c r="AO1285" s="1037"/>
      <c r="AP1285" s="1037"/>
    </row>
    <row r="1286" spans="1:42" s="226" customFormat="1">
      <c r="A1286" s="2060"/>
      <c r="B1286" s="1037"/>
      <c r="C1286" s="1037"/>
      <c r="D1286" s="1037"/>
      <c r="E1286" s="1037"/>
      <c r="F1286" s="1037"/>
      <c r="G1286" s="1037"/>
      <c r="H1286" s="1018"/>
      <c r="I1286" s="1037"/>
      <c r="J1286" s="1037"/>
      <c r="K1286" s="1037"/>
      <c r="L1286" s="1037"/>
      <c r="M1286" s="1037"/>
      <c r="N1286" s="1037"/>
      <c r="O1286" s="1037"/>
      <c r="P1286" s="1037"/>
      <c r="Q1286" s="1037"/>
      <c r="R1286" s="1037"/>
      <c r="S1286" s="1037"/>
      <c r="T1286" s="1037"/>
      <c r="U1286" s="1037"/>
      <c r="V1286" s="1037"/>
      <c r="W1286" s="1037"/>
      <c r="X1286" s="1037"/>
      <c r="Y1286" s="1037"/>
      <c r="Z1286" s="1037"/>
      <c r="AA1286" s="1037"/>
      <c r="AB1286" s="1037"/>
      <c r="AC1286" s="1037"/>
      <c r="AD1286" s="1037"/>
      <c r="AE1286" s="1037"/>
      <c r="AF1286" s="1037"/>
      <c r="AG1286" s="1037"/>
      <c r="AH1286" s="1037"/>
      <c r="AI1286" s="1037"/>
      <c r="AJ1286" s="1037"/>
      <c r="AK1286" s="1037"/>
      <c r="AL1286" s="1037"/>
      <c r="AM1286" s="1037"/>
      <c r="AN1286" s="1037"/>
      <c r="AO1286" s="1037"/>
      <c r="AP1286" s="1037"/>
    </row>
    <row r="1287" spans="1:42" s="226" customFormat="1">
      <c r="A1287" s="2060"/>
      <c r="B1287" s="1037"/>
      <c r="C1287" s="1037"/>
      <c r="D1287" s="1037"/>
      <c r="E1287" s="1037"/>
      <c r="F1287" s="1037"/>
      <c r="G1287" s="1037"/>
      <c r="H1287" s="1018"/>
      <c r="I1287" s="1037"/>
      <c r="J1287" s="1037"/>
      <c r="K1287" s="1037"/>
      <c r="L1287" s="1037"/>
      <c r="M1287" s="1037"/>
      <c r="N1287" s="1037"/>
      <c r="O1287" s="1037"/>
      <c r="P1287" s="1037"/>
      <c r="Q1287" s="1037"/>
      <c r="R1287" s="1037"/>
      <c r="S1287" s="1037"/>
      <c r="T1287" s="1037"/>
      <c r="U1287" s="1037"/>
      <c r="V1287" s="1037"/>
      <c r="W1287" s="1037"/>
      <c r="X1287" s="1037"/>
      <c r="Y1287" s="1037"/>
      <c r="Z1287" s="1037"/>
      <c r="AA1287" s="1037"/>
      <c r="AB1287" s="1037"/>
      <c r="AC1287" s="1037"/>
      <c r="AD1287" s="1037"/>
      <c r="AE1287" s="1037"/>
      <c r="AF1287" s="1037"/>
      <c r="AG1287" s="1037"/>
      <c r="AH1287" s="1037"/>
      <c r="AI1287" s="1037"/>
      <c r="AJ1287" s="1037"/>
      <c r="AK1287" s="1037"/>
      <c r="AL1287" s="1037"/>
      <c r="AM1287" s="1037"/>
      <c r="AN1287" s="1037"/>
      <c r="AO1287" s="1037"/>
      <c r="AP1287" s="1037"/>
    </row>
    <row r="1288" spans="1:42" s="226" customFormat="1">
      <c r="A1288" s="2060"/>
      <c r="B1288" s="1037"/>
      <c r="C1288" s="1037"/>
      <c r="D1288" s="1037"/>
      <c r="E1288" s="1037"/>
      <c r="F1288" s="1037"/>
      <c r="G1288" s="1037"/>
      <c r="H1288" s="1018"/>
      <c r="I1288" s="1037"/>
      <c r="J1288" s="1037"/>
      <c r="K1288" s="1037"/>
      <c r="L1288" s="1037"/>
      <c r="M1288" s="1037"/>
      <c r="N1288" s="1037"/>
      <c r="O1288" s="1037"/>
      <c r="P1288" s="1037"/>
      <c r="Q1288" s="1037"/>
      <c r="R1288" s="1037"/>
      <c r="S1288" s="1037"/>
      <c r="T1288" s="1037"/>
      <c r="U1288" s="1037"/>
      <c r="V1288" s="1037"/>
      <c r="W1288" s="1037"/>
      <c r="X1288" s="1037"/>
      <c r="Y1288" s="1037"/>
      <c r="Z1288" s="1037"/>
      <c r="AA1288" s="1037"/>
      <c r="AB1288" s="1037"/>
      <c r="AC1288" s="1037"/>
      <c r="AD1288" s="1037"/>
      <c r="AE1288" s="1037"/>
      <c r="AF1288" s="1037"/>
      <c r="AG1288" s="1037"/>
      <c r="AH1288" s="1037"/>
      <c r="AI1288" s="1037"/>
      <c r="AJ1288" s="1037"/>
      <c r="AK1288" s="1037"/>
      <c r="AL1288" s="1037"/>
      <c r="AM1288" s="1037"/>
      <c r="AN1288" s="1037"/>
      <c r="AO1288" s="1037"/>
      <c r="AP1288" s="1037"/>
    </row>
    <row r="1289" spans="1:42" s="226" customFormat="1">
      <c r="A1289" s="2060"/>
      <c r="B1289" s="1037"/>
      <c r="C1289" s="1037"/>
      <c r="D1289" s="1037"/>
      <c r="E1289" s="1037"/>
      <c r="F1289" s="1037"/>
      <c r="G1289" s="1037"/>
      <c r="H1289" s="1018"/>
      <c r="I1289" s="1037"/>
      <c r="J1289" s="1037"/>
      <c r="K1289" s="1037"/>
      <c r="L1289" s="1037"/>
      <c r="M1289" s="1037"/>
      <c r="N1289" s="1037"/>
      <c r="O1289" s="1037"/>
      <c r="P1289" s="1037"/>
      <c r="Q1289" s="1037"/>
      <c r="R1289" s="1037"/>
      <c r="S1289" s="1037"/>
      <c r="T1289" s="1037"/>
      <c r="U1289" s="1037"/>
      <c r="V1289" s="1037"/>
      <c r="W1289" s="1037"/>
      <c r="X1289" s="1037"/>
      <c r="Y1289" s="1037"/>
      <c r="Z1289" s="1037"/>
      <c r="AA1289" s="1037"/>
      <c r="AB1289" s="1037"/>
      <c r="AC1289" s="1037"/>
      <c r="AD1289" s="1037"/>
      <c r="AE1289" s="1037"/>
      <c r="AF1289" s="1037"/>
      <c r="AG1289" s="1037"/>
      <c r="AH1289" s="1037"/>
      <c r="AI1289" s="1037"/>
      <c r="AJ1289" s="1037"/>
      <c r="AK1289" s="1037"/>
      <c r="AL1289" s="1037"/>
      <c r="AM1289" s="1037"/>
      <c r="AN1289" s="1037"/>
      <c r="AO1289" s="1037"/>
      <c r="AP1289" s="1037"/>
    </row>
    <row r="1290" spans="1:42" s="226" customFormat="1">
      <c r="A1290" s="2060"/>
      <c r="B1290" s="1037"/>
      <c r="C1290" s="1037"/>
      <c r="D1290" s="1037"/>
      <c r="E1290" s="1037"/>
      <c r="F1290" s="1037"/>
      <c r="G1290" s="1037"/>
      <c r="H1290" s="1018"/>
      <c r="I1290" s="1037"/>
      <c r="J1290" s="1037"/>
      <c r="K1290" s="1037"/>
      <c r="L1290" s="1037"/>
      <c r="M1290" s="1037"/>
      <c r="N1290" s="1037"/>
      <c r="O1290" s="1037"/>
      <c r="P1290" s="1037"/>
      <c r="Q1290" s="1037"/>
      <c r="R1290" s="1037"/>
      <c r="S1290" s="1037"/>
      <c r="T1290" s="1037"/>
      <c r="U1290" s="1037"/>
      <c r="V1290" s="1037"/>
      <c r="W1290" s="1037"/>
      <c r="X1290" s="1037"/>
      <c r="Y1290" s="1037"/>
      <c r="Z1290" s="1037"/>
      <c r="AA1290" s="1037"/>
      <c r="AB1290" s="1037"/>
      <c r="AC1290" s="1037"/>
      <c r="AD1290" s="1037"/>
      <c r="AE1290" s="1037"/>
      <c r="AF1290" s="1037"/>
      <c r="AG1290" s="1037"/>
      <c r="AH1290" s="1037"/>
      <c r="AI1290" s="1037"/>
      <c r="AJ1290" s="1037"/>
      <c r="AK1290" s="1037"/>
      <c r="AL1290" s="1037"/>
      <c r="AM1290" s="1037"/>
      <c r="AN1290" s="1037"/>
      <c r="AO1290" s="1037"/>
      <c r="AP1290" s="1037"/>
    </row>
    <row r="1291" spans="1:42" s="226" customFormat="1">
      <c r="A1291" s="2060"/>
      <c r="B1291" s="1037"/>
      <c r="C1291" s="1037"/>
      <c r="D1291" s="1037"/>
      <c r="E1291" s="1037"/>
      <c r="F1291" s="1037"/>
      <c r="G1291" s="1037"/>
      <c r="H1291" s="1018"/>
      <c r="I1291" s="1037"/>
      <c r="J1291" s="1037"/>
      <c r="K1291" s="1037"/>
      <c r="L1291" s="1037"/>
      <c r="M1291" s="1037"/>
      <c r="N1291" s="1037"/>
      <c r="O1291" s="1037"/>
      <c r="P1291" s="1037"/>
      <c r="Q1291" s="1037"/>
      <c r="R1291" s="1037"/>
      <c r="S1291" s="1037"/>
      <c r="T1291" s="1037"/>
      <c r="U1291" s="1037"/>
      <c r="V1291" s="1037"/>
      <c r="W1291" s="1037"/>
      <c r="X1291" s="1037"/>
      <c r="Y1291" s="1037"/>
      <c r="Z1291" s="1037"/>
      <c r="AA1291" s="1037"/>
      <c r="AB1291" s="1037"/>
      <c r="AC1291" s="1037"/>
      <c r="AD1291" s="1037"/>
      <c r="AE1291" s="1037"/>
      <c r="AF1291" s="1037"/>
      <c r="AG1291" s="1037"/>
      <c r="AH1291" s="1037"/>
      <c r="AI1291" s="1037"/>
      <c r="AJ1291" s="1037"/>
      <c r="AK1291" s="1037"/>
      <c r="AL1291" s="1037"/>
      <c r="AM1291" s="1037"/>
      <c r="AN1291" s="1037"/>
      <c r="AO1291" s="1037"/>
      <c r="AP1291" s="1037"/>
    </row>
    <row r="1292" spans="1:42" s="226" customFormat="1">
      <c r="A1292" s="2060"/>
      <c r="B1292" s="1037"/>
      <c r="C1292" s="1037"/>
      <c r="D1292" s="1037"/>
      <c r="E1292" s="1037"/>
      <c r="F1292" s="1037"/>
      <c r="G1292" s="1037"/>
      <c r="H1292" s="1018"/>
      <c r="I1292" s="1037"/>
      <c r="J1292" s="1037"/>
      <c r="K1292" s="1037"/>
      <c r="L1292" s="1037"/>
      <c r="M1292" s="1037"/>
      <c r="N1292" s="1037"/>
      <c r="O1292" s="1037"/>
      <c r="P1292" s="1037"/>
      <c r="Q1292" s="1037"/>
      <c r="R1292" s="1037"/>
      <c r="S1292" s="1037"/>
      <c r="T1292" s="1037"/>
      <c r="U1292" s="1037"/>
      <c r="V1292" s="1037"/>
      <c r="W1292" s="1037"/>
      <c r="X1292" s="1037"/>
      <c r="Y1292" s="1037"/>
      <c r="Z1292" s="1037"/>
      <c r="AA1292" s="1037"/>
      <c r="AB1292" s="1037"/>
      <c r="AC1292" s="1037"/>
      <c r="AD1292" s="1037"/>
      <c r="AE1292" s="1037"/>
      <c r="AF1292" s="1037"/>
      <c r="AG1292" s="1037"/>
      <c r="AH1292" s="1037"/>
      <c r="AI1292" s="1037"/>
      <c r="AJ1292" s="1037"/>
      <c r="AK1292" s="1037"/>
      <c r="AL1292" s="1037"/>
      <c r="AM1292" s="1037"/>
      <c r="AN1292" s="1037"/>
      <c r="AO1292" s="1037"/>
      <c r="AP1292" s="1037"/>
    </row>
    <row r="1293" spans="1:42" s="226" customFormat="1">
      <c r="A1293" s="2060"/>
      <c r="B1293" s="1037"/>
      <c r="C1293" s="1037"/>
      <c r="D1293" s="1037"/>
      <c r="E1293" s="1037"/>
      <c r="F1293" s="1037"/>
      <c r="G1293" s="1037"/>
      <c r="H1293" s="1018"/>
      <c r="I1293" s="1037"/>
      <c r="J1293" s="1037"/>
      <c r="K1293" s="1037"/>
      <c r="L1293" s="1037"/>
      <c r="M1293" s="1037"/>
      <c r="N1293" s="1037"/>
      <c r="O1293" s="1037"/>
      <c r="P1293" s="1037"/>
      <c r="Q1293" s="1037"/>
      <c r="R1293" s="1037"/>
      <c r="S1293" s="1037"/>
      <c r="T1293" s="1037"/>
      <c r="U1293" s="1037"/>
      <c r="V1293" s="1037"/>
      <c r="W1293" s="1037"/>
      <c r="X1293" s="1037"/>
      <c r="Y1293" s="1037"/>
      <c r="Z1293" s="1037"/>
      <c r="AA1293" s="1037"/>
      <c r="AB1293" s="1037"/>
      <c r="AC1293" s="1037"/>
      <c r="AD1293" s="1037"/>
      <c r="AE1293" s="1037"/>
      <c r="AF1293" s="1037"/>
      <c r="AG1293" s="1037"/>
      <c r="AH1293" s="1037"/>
      <c r="AI1293" s="1037"/>
      <c r="AJ1293" s="1037"/>
      <c r="AK1293" s="1037"/>
      <c r="AL1293" s="1037"/>
      <c r="AM1293" s="1037"/>
      <c r="AN1293" s="1037"/>
      <c r="AO1293" s="1037"/>
      <c r="AP1293" s="1037"/>
    </row>
    <row r="1294" spans="1:42" s="226" customFormat="1">
      <c r="A1294" s="2060"/>
      <c r="B1294" s="1037"/>
      <c r="C1294" s="1037"/>
      <c r="D1294" s="1037"/>
      <c r="E1294" s="1037"/>
      <c r="F1294" s="1037"/>
      <c r="G1294" s="1037"/>
      <c r="H1294" s="1018"/>
      <c r="I1294" s="1037"/>
      <c r="J1294" s="1037"/>
      <c r="K1294" s="1037"/>
      <c r="L1294" s="1037"/>
      <c r="M1294" s="1037"/>
      <c r="N1294" s="1037"/>
      <c r="O1294" s="1037"/>
      <c r="P1294" s="1037"/>
      <c r="Q1294" s="1037"/>
      <c r="R1294" s="1037"/>
      <c r="S1294" s="1037"/>
      <c r="T1294" s="1037"/>
      <c r="U1294" s="1037"/>
      <c r="V1294" s="1037"/>
      <c r="W1294" s="1037"/>
      <c r="X1294" s="1037"/>
      <c r="Y1294" s="1037"/>
      <c r="Z1294" s="1037"/>
      <c r="AA1294" s="1037"/>
      <c r="AB1294" s="1037"/>
      <c r="AC1294" s="1037"/>
      <c r="AD1294" s="1037"/>
      <c r="AE1294" s="1037"/>
      <c r="AF1294" s="1037"/>
      <c r="AG1294" s="1037"/>
      <c r="AH1294" s="1037"/>
      <c r="AI1294" s="1037"/>
      <c r="AJ1294" s="1037"/>
      <c r="AK1294" s="1037"/>
      <c r="AL1294" s="1037"/>
      <c r="AM1294" s="1037"/>
      <c r="AN1294" s="1037"/>
      <c r="AO1294" s="1037"/>
      <c r="AP1294" s="1037"/>
    </row>
    <row r="1295" spans="1:42" s="226" customFormat="1">
      <c r="A1295" s="2060"/>
      <c r="B1295" s="1037"/>
      <c r="C1295" s="1037"/>
      <c r="D1295" s="1037"/>
      <c r="E1295" s="1037"/>
      <c r="F1295" s="1037"/>
      <c r="G1295" s="1037"/>
      <c r="H1295" s="1018"/>
      <c r="I1295" s="1037"/>
      <c r="J1295" s="1037"/>
      <c r="K1295" s="1037"/>
      <c r="L1295" s="1037"/>
      <c r="M1295" s="1037"/>
      <c r="N1295" s="1037"/>
      <c r="O1295" s="1037"/>
      <c r="P1295" s="1037"/>
      <c r="Q1295" s="1037"/>
      <c r="R1295" s="1037"/>
      <c r="S1295" s="1037"/>
      <c r="T1295" s="1037"/>
      <c r="U1295" s="1037"/>
      <c r="V1295" s="1037"/>
      <c r="W1295" s="1037"/>
      <c r="X1295" s="1037"/>
      <c r="Y1295" s="1037"/>
      <c r="Z1295" s="1037"/>
      <c r="AA1295" s="1037"/>
      <c r="AB1295" s="1037"/>
      <c r="AC1295" s="1037"/>
      <c r="AD1295" s="1037"/>
      <c r="AE1295" s="1037"/>
      <c r="AF1295" s="1037"/>
      <c r="AG1295" s="1037"/>
      <c r="AH1295" s="1037"/>
      <c r="AI1295" s="1037"/>
      <c r="AJ1295" s="1037"/>
      <c r="AK1295" s="1037"/>
      <c r="AL1295" s="1037"/>
      <c r="AM1295" s="1037"/>
      <c r="AN1295" s="1037"/>
      <c r="AO1295" s="1037"/>
      <c r="AP1295" s="1037"/>
    </row>
    <row r="1296" spans="1:42" s="226" customFormat="1">
      <c r="A1296" s="2060"/>
      <c r="B1296" s="1037"/>
      <c r="C1296" s="1037"/>
      <c r="D1296" s="1037"/>
      <c r="E1296" s="1037"/>
      <c r="F1296" s="1037"/>
      <c r="G1296" s="1037"/>
      <c r="H1296" s="1018"/>
      <c r="I1296" s="1037"/>
      <c r="J1296" s="1037"/>
      <c r="K1296" s="1037"/>
      <c r="L1296" s="1037"/>
      <c r="M1296" s="1037"/>
      <c r="N1296" s="1037"/>
      <c r="O1296" s="1037"/>
      <c r="P1296" s="1037"/>
      <c r="Q1296" s="1037"/>
      <c r="R1296" s="1037"/>
      <c r="S1296" s="1037"/>
      <c r="T1296" s="1037"/>
      <c r="U1296" s="1037"/>
      <c r="V1296" s="1037"/>
      <c r="W1296" s="1037"/>
      <c r="X1296" s="1037"/>
      <c r="Y1296" s="1037"/>
      <c r="Z1296" s="1037"/>
      <c r="AA1296" s="1037"/>
      <c r="AB1296" s="1037"/>
      <c r="AC1296" s="1037"/>
      <c r="AD1296" s="1037"/>
      <c r="AE1296" s="1037"/>
      <c r="AF1296" s="1037"/>
      <c r="AG1296" s="1037"/>
      <c r="AH1296" s="1037"/>
      <c r="AI1296" s="1037"/>
      <c r="AJ1296" s="1037"/>
      <c r="AK1296" s="1037"/>
      <c r="AL1296" s="1037"/>
      <c r="AM1296" s="1037"/>
      <c r="AN1296" s="1037"/>
      <c r="AO1296" s="1037"/>
      <c r="AP1296" s="1037"/>
    </row>
    <row r="1297" spans="1:42" s="226" customFormat="1">
      <c r="A1297" s="2060"/>
      <c r="B1297" s="1037"/>
      <c r="C1297" s="1037"/>
      <c r="D1297" s="1037"/>
      <c r="E1297" s="1037"/>
      <c r="F1297" s="1037"/>
      <c r="G1297" s="1037"/>
      <c r="H1297" s="1018"/>
      <c r="I1297" s="1037"/>
      <c r="J1297" s="1037"/>
      <c r="K1297" s="1037"/>
      <c r="L1297" s="1037"/>
      <c r="M1297" s="1037"/>
      <c r="N1297" s="1037"/>
      <c r="O1297" s="1037"/>
      <c r="P1297" s="1037"/>
      <c r="Q1297" s="1037"/>
      <c r="R1297" s="1037"/>
      <c r="S1297" s="1037"/>
      <c r="T1297" s="1037"/>
      <c r="U1297" s="1037"/>
      <c r="V1297" s="1037"/>
      <c r="W1297" s="1037"/>
      <c r="X1297" s="1037"/>
      <c r="Y1297" s="1037"/>
      <c r="Z1297" s="1037"/>
      <c r="AA1297" s="1037"/>
      <c r="AB1297" s="1037"/>
      <c r="AC1297" s="1037"/>
      <c r="AD1297" s="1037"/>
      <c r="AE1297" s="1037"/>
      <c r="AF1297" s="1037"/>
      <c r="AG1297" s="1037"/>
      <c r="AH1297" s="1037"/>
      <c r="AI1297" s="1037"/>
      <c r="AJ1297" s="1037"/>
      <c r="AK1297" s="1037"/>
      <c r="AL1297" s="1037"/>
      <c r="AM1297" s="1037"/>
      <c r="AN1297" s="1037"/>
      <c r="AO1297" s="1037"/>
      <c r="AP1297" s="1037"/>
    </row>
    <row r="1298" spans="1:42" s="226" customFormat="1">
      <c r="A1298" s="2060"/>
      <c r="B1298" s="1037"/>
      <c r="C1298" s="1037"/>
      <c r="D1298" s="1037"/>
      <c r="E1298" s="1037"/>
      <c r="F1298" s="1037"/>
      <c r="G1298" s="1037"/>
      <c r="H1298" s="1018"/>
      <c r="I1298" s="1037"/>
      <c r="J1298" s="1037"/>
      <c r="K1298" s="1037"/>
      <c r="L1298" s="1037"/>
      <c r="M1298" s="1037"/>
      <c r="N1298" s="1037"/>
      <c r="O1298" s="1037"/>
      <c r="P1298" s="1037"/>
      <c r="Q1298" s="1037"/>
      <c r="R1298" s="1037"/>
      <c r="S1298" s="1037"/>
      <c r="T1298" s="1037"/>
      <c r="U1298" s="1037"/>
      <c r="V1298" s="1037"/>
      <c r="W1298" s="1037"/>
      <c r="X1298" s="1037"/>
      <c r="Y1298" s="1037"/>
      <c r="Z1298" s="1037"/>
      <c r="AA1298" s="1037"/>
      <c r="AB1298" s="1037"/>
      <c r="AC1298" s="1037"/>
      <c r="AD1298" s="1037"/>
      <c r="AE1298" s="1037"/>
      <c r="AF1298" s="1037"/>
      <c r="AG1298" s="1037"/>
      <c r="AH1298" s="1037"/>
      <c r="AI1298" s="1037"/>
      <c r="AJ1298" s="1037"/>
      <c r="AK1298" s="1037"/>
      <c r="AL1298" s="1037"/>
      <c r="AM1298" s="1037"/>
      <c r="AN1298" s="1037"/>
      <c r="AO1298" s="1037"/>
      <c r="AP1298" s="1037"/>
    </row>
    <row r="1299" spans="1:42" s="226" customFormat="1">
      <c r="A1299" s="2060"/>
      <c r="B1299" s="1037"/>
      <c r="C1299" s="1037"/>
      <c r="D1299" s="1037"/>
      <c r="E1299" s="1037"/>
      <c r="F1299" s="1037"/>
      <c r="G1299" s="1037"/>
      <c r="H1299" s="1018"/>
      <c r="I1299" s="1037"/>
      <c r="J1299" s="1037"/>
      <c r="K1299" s="1037"/>
      <c r="L1299" s="1037"/>
      <c r="M1299" s="1037"/>
      <c r="N1299" s="1037"/>
      <c r="O1299" s="1037"/>
      <c r="P1299" s="1037"/>
      <c r="Q1299" s="1037"/>
      <c r="R1299" s="1037"/>
      <c r="S1299" s="1037"/>
      <c r="T1299" s="1037"/>
      <c r="U1299" s="1037"/>
      <c r="V1299" s="1037"/>
      <c r="W1299" s="1037"/>
      <c r="X1299" s="1037"/>
      <c r="Y1299" s="1037"/>
      <c r="Z1299" s="1037"/>
      <c r="AA1299" s="1037"/>
      <c r="AB1299" s="1037"/>
      <c r="AC1299" s="1037"/>
      <c r="AD1299" s="1037"/>
      <c r="AE1299" s="1037"/>
      <c r="AF1299" s="1037"/>
      <c r="AG1299" s="1037"/>
      <c r="AH1299" s="1037"/>
      <c r="AI1299" s="1037"/>
      <c r="AJ1299" s="1037"/>
      <c r="AK1299" s="1037"/>
      <c r="AL1299" s="1037"/>
      <c r="AM1299" s="1037"/>
      <c r="AN1299" s="1037"/>
      <c r="AO1299" s="1037"/>
      <c r="AP1299" s="1037"/>
    </row>
    <row r="1300" spans="1:42" s="226" customFormat="1">
      <c r="A1300" s="2060"/>
      <c r="B1300" s="1037"/>
      <c r="C1300" s="1037"/>
      <c r="D1300" s="1037"/>
      <c r="E1300" s="1037"/>
      <c r="F1300" s="1037"/>
      <c r="G1300" s="1037"/>
      <c r="H1300" s="1018"/>
      <c r="I1300" s="1037"/>
      <c r="J1300" s="1037"/>
      <c r="K1300" s="1037"/>
      <c r="L1300" s="1037"/>
      <c r="M1300" s="1037"/>
      <c r="N1300" s="1037"/>
      <c r="O1300" s="1037"/>
      <c r="P1300" s="1037"/>
      <c r="Q1300" s="1037"/>
      <c r="R1300" s="1037"/>
      <c r="S1300" s="1037"/>
      <c r="T1300" s="1037"/>
      <c r="U1300" s="1037"/>
      <c r="V1300" s="1037"/>
      <c r="W1300" s="1037"/>
      <c r="X1300" s="1037"/>
      <c r="Y1300" s="1037"/>
      <c r="Z1300" s="1037"/>
      <c r="AA1300" s="1037"/>
      <c r="AB1300" s="1037"/>
      <c r="AC1300" s="1037"/>
      <c r="AD1300" s="1037"/>
      <c r="AE1300" s="1037"/>
      <c r="AF1300" s="1037"/>
      <c r="AG1300" s="1037"/>
      <c r="AH1300" s="1037"/>
      <c r="AI1300" s="1037"/>
      <c r="AJ1300" s="1037"/>
      <c r="AK1300" s="1037"/>
      <c r="AL1300" s="1037"/>
      <c r="AM1300" s="1037"/>
      <c r="AN1300" s="1037"/>
      <c r="AO1300" s="1037"/>
      <c r="AP1300" s="1037"/>
    </row>
    <row r="1301" spans="1:42" s="226" customFormat="1">
      <c r="A1301" s="2060"/>
      <c r="B1301" s="1037"/>
      <c r="C1301" s="1037"/>
      <c r="D1301" s="1037"/>
      <c r="E1301" s="1037"/>
      <c r="F1301" s="1037"/>
      <c r="G1301" s="1037"/>
      <c r="H1301" s="1018"/>
      <c r="I1301" s="1037"/>
      <c r="J1301" s="1037"/>
      <c r="K1301" s="1037"/>
      <c r="L1301" s="1037"/>
      <c r="M1301" s="1037"/>
      <c r="N1301" s="1037"/>
      <c r="O1301" s="1037"/>
      <c r="P1301" s="1037"/>
      <c r="Q1301" s="1037"/>
      <c r="R1301" s="1037"/>
      <c r="S1301" s="1037"/>
      <c r="T1301" s="1037"/>
      <c r="U1301" s="1037"/>
      <c r="V1301" s="1037"/>
      <c r="W1301" s="1037"/>
      <c r="X1301" s="1037"/>
      <c r="Y1301" s="1037"/>
      <c r="Z1301" s="1037"/>
      <c r="AA1301" s="1037"/>
      <c r="AB1301" s="1037"/>
      <c r="AC1301" s="1037"/>
      <c r="AD1301" s="1037"/>
      <c r="AE1301" s="1037"/>
      <c r="AF1301" s="1037"/>
      <c r="AG1301" s="1037"/>
      <c r="AH1301" s="1037"/>
      <c r="AI1301" s="1037"/>
      <c r="AJ1301" s="1037"/>
      <c r="AK1301" s="1037"/>
      <c r="AL1301" s="1037"/>
      <c r="AM1301" s="1037"/>
      <c r="AN1301" s="1037"/>
      <c r="AO1301" s="1037"/>
      <c r="AP1301" s="1037"/>
    </row>
    <row r="1302" spans="1:42" s="226" customFormat="1">
      <c r="A1302" s="2060"/>
      <c r="B1302" s="1037"/>
      <c r="C1302" s="1037"/>
      <c r="D1302" s="1037"/>
      <c r="E1302" s="1037"/>
      <c r="F1302" s="1037"/>
      <c r="G1302" s="1037"/>
      <c r="H1302" s="1018"/>
      <c r="I1302" s="1037"/>
      <c r="J1302" s="1037"/>
      <c r="K1302" s="1037"/>
      <c r="L1302" s="1037"/>
      <c r="M1302" s="1037"/>
      <c r="N1302" s="1037"/>
      <c r="O1302" s="1037"/>
      <c r="P1302" s="1037"/>
      <c r="Q1302" s="1037"/>
      <c r="R1302" s="1037"/>
      <c r="S1302" s="1037"/>
      <c r="T1302" s="1037"/>
      <c r="U1302" s="1037"/>
      <c r="V1302" s="1037"/>
      <c r="W1302" s="1037"/>
      <c r="X1302" s="1037"/>
      <c r="Y1302" s="1037"/>
      <c r="Z1302" s="1037"/>
      <c r="AA1302" s="1037"/>
      <c r="AB1302" s="1037"/>
      <c r="AC1302" s="1037"/>
      <c r="AD1302" s="1037"/>
      <c r="AE1302" s="1037"/>
      <c r="AF1302" s="1037"/>
      <c r="AG1302" s="1037"/>
      <c r="AH1302" s="1037"/>
      <c r="AI1302" s="1037"/>
      <c r="AJ1302" s="1037"/>
      <c r="AK1302" s="1037"/>
      <c r="AL1302" s="1037"/>
      <c r="AM1302" s="1037"/>
      <c r="AN1302" s="1037"/>
      <c r="AO1302" s="1037"/>
      <c r="AP1302" s="1037"/>
    </row>
    <row r="1303" spans="1:42" s="226" customFormat="1">
      <c r="A1303" s="2060"/>
      <c r="B1303" s="1037"/>
      <c r="C1303" s="1037"/>
      <c r="D1303" s="1037"/>
      <c r="E1303" s="1037"/>
      <c r="F1303" s="1037"/>
      <c r="G1303" s="1037"/>
      <c r="H1303" s="1018"/>
      <c r="I1303" s="1037"/>
      <c r="J1303" s="1037"/>
      <c r="K1303" s="1037"/>
      <c r="L1303" s="1037"/>
      <c r="M1303" s="1037"/>
      <c r="N1303" s="1037"/>
      <c r="O1303" s="1037"/>
      <c r="P1303" s="1037"/>
      <c r="Q1303" s="1037"/>
      <c r="R1303" s="1037"/>
      <c r="S1303" s="1037"/>
      <c r="T1303" s="1037"/>
      <c r="U1303" s="1037"/>
      <c r="V1303" s="1037"/>
      <c r="W1303" s="1037"/>
      <c r="X1303" s="1037"/>
      <c r="Y1303" s="1037"/>
      <c r="Z1303" s="1037"/>
      <c r="AA1303" s="1037"/>
      <c r="AB1303" s="1037"/>
      <c r="AC1303" s="1037"/>
      <c r="AD1303" s="1037"/>
      <c r="AE1303" s="1037"/>
      <c r="AF1303" s="1037"/>
      <c r="AG1303" s="1037"/>
      <c r="AH1303" s="1037"/>
      <c r="AI1303" s="1037"/>
      <c r="AJ1303" s="1037"/>
      <c r="AK1303" s="1037"/>
      <c r="AL1303" s="1037"/>
      <c r="AM1303" s="1037"/>
      <c r="AN1303" s="1037"/>
      <c r="AO1303" s="1037"/>
      <c r="AP1303" s="1037"/>
    </row>
    <row r="1304" spans="1:42" s="226" customFormat="1">
      <c r="A1304" s="2060"/>
      <c r="B1304" s="1037"/>
      <c r="C1304" s="1037"/>
      <c r="D1304" s="1037"/>
      <c r="E1304" s="1037"/>
      <c r="F1304" s="1037"/>
      <c r="G1304" s="1037"/>
      <c r="H1304" s="1018"/>
      <c r="I1304" s="1037"/>
      <c r="J1304" s="1037"/>
      <c r="K1304" s="1037"/>
      <c r="L1304" s="1037"/>
      <c r="M1304" s="1037"/>
      <c r="N1304" s="1037"/>
      <c r="O1304" s="1037"/>
      <c r="P1304" s="1037"/>
      <c r="Q1304" s="1037"/>
      <c r="R1304" s="1037"/>
      <c r="S1304" s="1037"/>
      <c r="T1304" s="1037"/>
      <c r="U1304" s="1037"/>
      <c r="V1304" s="1037"/>
      <c r="W1304" s="1037"/>
      <c r="X1304" s="1037"/>
      <c r="Y1304" s="1037"/>
      <c r="Z1304" s="1037"/>
      <c r="AA1304" s="1037"/>
      <c r="AB1304" s="1037"/>
      <c r="AC1304" s="1037"/>
      <c r="AD1304" s="1037"/>
      <c r="AE1304" s="1037"/>
      <c r="AF1304" s="1037"/>
      <c r="AG1304" s="1037"/>
      <c r="AH1304" s="1037"/>
      <c r="AI1304" s="1037"/>
      <c r="AJ1304" s="1037"/>
      <c r="AK1304" s="1037"/>
      <c r="AL1304" s="1037"/>
      <c r="AM1304" s="1037"/>
      <c r="AN1304" s="1037"/>
      <c r="AO1304" s="1037"/>
      <c r="AP1304" s="1037"/>
    </row>
    <row r="1305" spans="1:42" s="226" customFormat="1">
      <c r="A1305" s="2060"/>
      <c r="B1305" s="1037"/>
      <c r="C1305" s="1037"/>
      <c r="D1305" s="1037"/>
      <c r="E1305" s="1037"/>
      <c r="F1305" s="1037"/>
      <c r="G1305" s="1037"/>
      <c r="H1305" s="1018"/>
      <c r="I1305" s="1037"/>
      <c r="J1305" s="1037"/>
      <c r="K1305" s="1037"/>
      <c r="L1305" s="1037"/>
      <c r="M1305" s="1037"/>
      <c r="N1305" s="1037"/>
      <c r="O1305" s="1037"/>
      <c r="P1305" s="1037"/>
      <c r="Q1305" s="1037"/>
      <c r="R1305" s="1037"/>
      <c r="S1305" s="1037"/>
      <c r="T1305" s="1037"/>
      <c r="U1305" s="1037"/>
      <c r="V1305" s="1037"/>
      <c r="W1305" s="1037"/>
      <c r="X1305" s="1037"/>
      <c r="Y1305" s="1037"/>
      <c r="Z1305" s="1037"/>
      <c r="AA1305" s="1037"/>
      <c r="AB1305" s="1037"/>
      <c r="AC1305" s="1037"/>
      <c r="AD1305" s="1037"/>
      <c r="AE1305" s="1037"/>
      <c r="AF1305" s="1037"/>
      <c r="AG1305" s="1037"/>
      <c r="AH1305" s="1037"/>
      <c r="AI1305" s="1037"/>
      <c r="AJ1305" s="1037"/>
      <c r="AK1305" s="1037"/>
      <c r="AL1305" s="1037"/>
      <c r="AM1305" s="1037"/>
      <c r="AN1305" s="1037"/>
      <c r="AO1305" s="1037"/>
      <c r="AP1305" s="1037"/>
    </row>
    <row r="1306" spans="1:42" s="226" customFormat="1">
      <c r="A1306" s="2060"/>
      <c r="B1306" s="1037"/>
      <c r="C1306" s="1037"/>
      <c r="D1306" s="1037"/>
      <c r="E1306" s="1037"/>
      <c r="F1306" s="1037"/>
      <c r="G1306" s="1037"/>
      <c r="H1306" s="1018"/>
      <c r="I1306" s="1037"/>
      <c r="J1306" s="1037"/>
      <c r="K1306" s="1037"/>
      <c r="L1306" s="1037"/>
      <c r="M1306" s="1037"/>
      <c r="N1306" s="1037"/>
      <c r="O1306" s="1037"/>
      <c r="P1306" s="1037"/>
      <c r="Q1306" s="1037"/>
      <c r="R1306" s="1037"/>
      <c r="S1306" s="1037"/>
      <c r="T1306" s="1037"/>
      <c r="U1306" s="1037"/>
      <c r="V1306" s="1037"/>
      <c r="W1306" s="1037"/>
      <c r="X1306" s="1037"/>
      <c r="Y1306" s="1037"/>
      <c r="Z1306" s="1037"/>
      <c r="AA1306" s="1037"/>
      <c r="AB1306" s="1037"/>
      <c r="AC1306" s="1037"/>
      <c r="AD1306" s="1037"/>
      <c r="AE1306" s="1037"/>
      <c r="AF1306" s="1037"/>
      <c r="AG1306" s="1037"/>
      <c r="AH1306" s="1037"/>
      <c r="AI1306" s="1037"/>
      <c r="AJ1306" s="1037"/>
      <c r="AK1306" s="1037"/>
      <c r="AL1306" s="1037"/>
      <c r="AM1306" s="1037"/>
      <c r="AN1306" s="1037"/>
      <c r="AO1306" s="1037"/>
      <c r="AP1306" s="1037"/>
    </row>
    <row r="1307" spans="1:42" s="226" customFormat="1">
      <c r="A1307" s="2060"/>
      <c r="B1307" s="1037"/>
      <c r="C1307" s="1037"/>
      <c r="D1307" s="1037"/>
      <c r="E1307" s="1037"/>
      <c r="F1307" s="1037"/>
      <c r="G1307" s="1037"/>
      <c r="H1307" s="1018"/>
      <c r="I1307" s="1037"/>
      <c r="J1307" s="1037"/>
      <c r="K1307" s="1037"/>
      <c r="L1307" s="1037"/>
      <c r="M1307" s="1037"/>
      <c r="N1307" s="1037"/>
      <c r="O1307" s="1037"/>
      <c r="P1307" s="1037"/>
      <c r="Q1307" s="1037"/>
      <c r="R1307" s="1037"/>
      <c r="S1307" s="1037"/>
      <c r="T1307" s="1037"/>
      <c r="U1307" s="1037"/>
      <c r="V1307" s="1037"/>
      <c r="W1307" s="1037"/>
      <c r="X1307" s="1037"/>
      <c r="Y1307" s="1037"/>
      <c r="Z1307" s="1037"/>
      <c r="AA1307" s="1037"/>
      <c r="AB1307" s="1037"/>
      <c r="AC1307" s="1037"/>
      <c r="AD1307" s="1037"/>
      <c r="AE1307" s="1037"/>
      <c r="AF1307" s="1037"/>
      <c r="AG1307" s="1037"/>
      <c r="AH1307" s="1037"/>
      <c r="AI1307" s="1037"/>
      <c r="AJ1307" s="1037"/>
      <c r="AK1307" s="1037"/>
      <c r="AL1307" s="1037"/>
      <c r="AM1307" s="1037"/>
      <c r="AN1307" s="1037"/>
      <c r="AO1307" s="1037"/>
      <c r="AP1307" s="1037"/>
    </row>
    <row r="1308" spans="1:42" s="226" customFormat="1">
      <c r="A1308" s="2060"/>
      <c r="B1308" s="1037"/>
      <c r="C1308" s="1037"/>
      <c r="D1308" s="1037"/>
      <c r="E1308" s="1037"/>
      <c r="F1308" s="1037"/>
      <c r="G1308" s="1037"/>
      <c r="H1308" s="1018"/>
      <c r="I1308" s="1037"/>
      <c r="J1308" s="1037"/>
      <c r="K1308" s="1037"/>
      <c r="L1308" s="1037"/>
      <c r="M1308" s="1037"/>
      <c r="N1308" s="1037"/>
      <c r="O1308" s="1037"/>
      <c r="P1308" s="1037"/>
      <c r="Q1308" s="1037"/>
      <c r="R1308" s="1037"/>
      <c r="S1308" s="1037"/>
      <c r="T1308" s="1037"/>
      <c r="U1308" s="1037"/>
      <c r="V1308" s="1037"/>
      <c r="W1308" s="1037"/>
      <c r="X1308" s="1037"/>
      <c r="Y1308" s="1037"/>
      <c r="Z1308" s="1037"/>
      <c r="AA1308" s="1037"/>
      <c r="AB1308" s="1037"/>
      <c r="AC1308" s="1037"/>
      <c r="AD1308" s="1037"/>
      <c r="AE1308" s="1037"/>
      <c r="AF1308" s="1037"/>
      <c r="AG1308" s="1037"/>
      <c r="AH1308" s="1037"/>
      <c r="AI1308" s="1037"/>
      <c r="AJ1308" s="1037"/>
      <c r="AK1308" s="1037"/>
      <c r="AL1308" s="1037"/>
      <c r="AM1308" s="1037"/>
      <c r="AN1308" s="1037"/>
      <c r="AO1308" s="1037"/>
      <c r="AP1308" s="1037"/>
    </row>
    <row r="1309" spans="1:42" s="226" customFormat="1">
      <c r="A1309" s="2060"/>
      <c r="B1309" s="1037"/>
      <c r="C1309" s="1037"/>
      <c r="D1309" s="1037"/>
      <c r="E1309" s="1037"/>
      <c r="F1309" s="1037"/>
      <c r="G1309" s="1037"/>
      <c r="H1309" s="1018"/>
      <c r="I1309" s="1037"/>
      <c r="J1309" s="1037"/>
      <c r="K1309" s="1037"/>
      <c r="L1309" s="1037"/>
      <c r="M1309" s="1037"/>
      <c r="N1309" s="1037"/>
      <c r="O1309" s="1037"/>
      <c r="P1309" s="1037"/>
      <c r="Q1309" s="1037"/>
      <c r="R1309" s="1037"/>
      <c r="S1309" s="1037"/>
      <c r="T1309" s="1037"/>
      <c r="U1309" s="1037"/>
      <c r="V1309" s="1037"/>
      <c r="W1309" s="1037"/>
      <c r="X1309" s="1037"/>
      <c r="Y1309" s="1037"/>
      <c r="Z1309" s="1037"/>
      <c r="AA1309" s="1037"/>
      <c r="AB1309" s="1037"/>
      <c r="AC1309" s="1037"/>
      <c r="AD1309" s="1037"/>
      <c r="AE1309" s="1037"/>
      <c r="AF1309" s="1037"/>
      <c r="AG1309" s="1037"/>
      <c r="AH1309" s="1037"/>
      <c r="AI1309" s="1037"/>
      <c r="AJ1309" s="1037"/>
      <c r="AK1309" s="1037"/>
      <c r="AL1309" s="1037"/>
      <c r="AM1309" s="1037"/>
      <c r="AN1309" s="1037"/>
      <c r="AO1309" s="1037"/>
      <c r="AP1309" s="1037"/>
    </row>
    <row r="1310" spans="1:42" s="226" customFormat="1">
      <c r="A1310" s="2060"/>
      <c r="B1310" s="1037"/>
      <c r="C1310" s="1037"/>
      <c r="D1310" s="1037"/>
      <c r="E1310" s="1037"/>
      <c r="F1310" s="1037"/>
      <c r="G1310" s="1037"/>
      <c r="H1310" s="1018"/>
      <c r="I1310" s="1037"/>
      <c r="J1310" s="1037"/>
      <c r="K1310" s="1037"/>
      <c r="L1310" s="1037"/>
      <c r="M1310" s="1037"/>
      <c r="N1310" s="1037"/>
      <c r="O1310" s="1037"/>
      <c r="P1310" s="1037"/>
      <c r="Q1310" s="1037"/>
      <c r="R1310" s="1037"/>
      <c r="S1310" s="1037"/>
      <c r="T1310" s="1037"/>
      <c r="U1310" s="1037"/>
      <c r="V1310" s="1037"/>
      <c r="W1310" s="1037"/>
      <c r="X1310" s="1037"/>
      <c r="Y1310" s="1037"/>
      <c r="Z1310" s="1037"/>
      <c r="AA1310" s="1037"/>
      <c r="AB1310" s="1037"/>
      <c r="AC1310" s="1037"/>
      <c r="AD1310" s="1037"/>
      <c r="AE1310" s="1037"/>
      <c r="AF1310" s="1037"/>
      <c r="AG1310" s="1037"/>
      <c r="AH1310" s="1037"/>
      <c r="AI1310" s="1037"/>
      <c r="AJ1310" s="1037"/>
      <c r="AK1310" s="1037"/>
      <c r="AL1310" s="1037"/>
      <c r="AM1310" s="1037"/>
      <c r="AN1310" s="1037"/>
      <c r="AO1310" s="1037"/>
      <c r="AP1310" s="1037"/>
    </row>
    <row r="1311" spans="1:42" s="226" customFormat="1">
      <c r="A1311" s="2060"/>
      <c r="B1311" s="1037"/>
      <c r="C1311" s="1037"/>
      <c r="D1311" s="1037"/>
      <c r="E1311" s="1037"/>
      <c r="F1311" s="1037"/>
      <c r="G1311" s="1037"/>
      <c r="H1311" s="1018"/>
      <c r="I1311" s="1037"/>
      <c r="J1311" s="1037"/>
      <c r="K1311" s="1037"/>
      <c r="L1311" s="1037"/>
      <c r="M1311" s="1037"/>
      <c r="N1311" s="1037"/>
      <c r="O1311" s="1037"/>
      <c r="P1311" s="1037"/>
      <c r="Q1311" s="1037"/>
      <c r="R1311" s="1037"/>
      <c r="S1311" s="1037"/>
      <c r="T1311" s="1037"/>
      <c r="U1311" s="1037"/>
      <c r="V1311" s="1037"/>
      <c r="W1311" s="1037"/>
      <c r="X1311" s="1037"/>
      <c r="Y1311" s="1037"/>
      <c r="Z1311" s="1037"/>
      <c r="AA1311" s="1037"/>
      <c r="AB1311" s="1037"/>
      <c r="AC1311" s="1037"/>
      <c r="AD1311" s="1037"/>
      <c r="AE1311" s="1037"/>
      <c r="AF1311" s="1037"/>
      <c r="AG1311" s="1037"/>
      <c r="AH1311" s="1037"/>
      <c r="AI1311" s="1037"/>
      <c r="AJ1311" s="1037"/>
      <c r="AK1311" s="1037"/>
      <c r="AL1311" s="1037"/>
      <c r="AM1311" s="1037"/>
      <c r="AN1311" s="1037"/>
      <c r="AO1311" s="1037"/>
      <c r="AP1311" s="1037"/>
    </row>
    <row r="1312" spans="1:42" s="226" customFormat="1">
      <c r="A1312" s="2060"/>
      <c r="B1312" s="1037"/>
      <c r="C1312" s="1037"/>
      <c r="D1312" s="1037"/>
      <c r="E1312" s="1037"/>
      <c r="F1312" s="1037"/>
      <c r="G1312" s="1037"/>
      <c r="H1312" s="1018"/>
      <c r="I1312" s="1037"/>
      <c r="J1312" s="1037"/>
      <c r="K1312" s="1037"/>
      <c r="L1312" s="1037"/>
      <c r="M1312" s="1037"/>
      <c r="N1312" s="1037"/>
      <c r="O1312" s="1037"/>
      <c r="P1312" s="1037"/>
      <c r="Q1312" s="1037"/>
      <c r="R1312" s="1037"/>
      <c r="S1312" s="1037"/>
      <c r="T1312" s="1037"/>
      <c r="U1312" s="1037"/>
      <c r="V1312" s="1037"/>
      <c r="W1312" s="1037"/>
      <c r="X1312" s="1037"/>
      <c r="Y1312" s="1037"/>
      <c r="Z1312" s="1037"/>
      <c r="AA1312" s="1037"/>
      <c r="AB1312" s="1037"/>
      <c r="AC1312" s="1037"/>
      <c r="AD1312" s="1037"/>
      <c r="AE1312" s="1037"/>
      <c r="AF1312" s="1037"/>
      <c r="AG1312" s="1037"/>
      <c r="AH1312" s="1037"/>
      <c r="AI1312" s="1037"/>
      <c r="AJ1312" s="1037"/>
      <c r="AK1312" s="1037"/>
      <c r="AL1312" s="1037"/>
      <c r="AM1312" s="1037"/>
      <c r="AN1312" s="1037"/>
      <c r="AO1312" s="1037"/>
      <c r="AP1312" s="1037"/>
    </row>
    <row r="1313" spans="1:42" s="226" customFormat="1">
      <c r="A1313" s="2060"/>
      <c r="B1313" s="1037"/>
      <c r="C1313" s="1037"/>
      <c r="D1313" s="1037"/>
      <c r="E1313" s="1037"/>
      <c r="F1313" s="1037"/>
      <c r="G1313" s="1037"/>
      <c r="H1313" s="1018"/>
      <c r="I1313" s="1037"/>
      <c r="J1313" s="1037"/>
      <c r="K1313" s="1037"/>
      <c r="L1313" s="1037"/>
      <c r="M1313" s="1037"/>
      <c r="N1313" s="1037"/>
      <c r="O1313" s="1037"/>
      <c r="P1313" s="1037"/>
      <c r="Q1313" s="1037"/>
      <c r="R1313" s="1037"/>
      <c r="S1313" s="1037"/>
      <c r="T1313" s="1037"/>
      <c r="U1313" s="1037"/>
      <c r="V1313" s="1037"/>
      <c r="W1313" s="1037"/>
      <c r="X1313" s="1037"/>
      <c r="Y1313" s="1037"/>
      <c r="Z1313" s="1037"/>
      <c r="AA1313" s="1037"/>
      <c r="AB1313" s="1037"/>
      <c r="AC1313" s="1037"/>
      <c r="AD1313" s="1037"/>
      <c r="AE1313" s="1037"/>
      <c r="AF1313" s="1037"/>
      <c r="AG1313" s="1037"/>
      <c r="AH1313" s="1037"/>
      <c r="AI1313" s="1037"/>
      <c r="AJ1313" s="1037"/>
      <c r="AK1313" s="1037"/>
      <c r="AL1313" s="1037"/>
      <c r="AM1313" s="1037"/>
      <c r="AN1313" s="1037"/>
      <c r="AO1313" s="1037"/>
      <c r="AP1313" s="1037"/>
    </row>
    <row r="1314" spans="1:42" s="226" customFormat="1">
      <c r="A1314" s="2060"/>
      <c r="B1314" s="1037"/>
      <c r="C1314" s="1037"/>
      <c r="D1314" s="1037"/>
      <c r="E1314" s="1037"/>
      <c r="F1314" s="1037"/>
      <c r="G1314" s="1037"/>
      <c r="H1314" s="1018"/>
      <c r="I1314" s="1037"/>
      <c r="J1314" s="1037"/>
      <c r="K1314" s="1037"/>
      <c r="L1314" s="1037"/>
      <c r="M1314" s="1037"/>
      <c r="N1314" s="1037"/>
      <c r="O1314" s="1037"/>
      <c r="P1314" s="1037"/>
      <c r="Q1314" s="1037"/>
      <c r="R1314" s="1037"/>
      <c r="S1314" s="1037"/>
      <c r="T1314" s="1037"/>
      <c r="U1314" s="1037"/>
      <c r="V1314" s="1037"/>
      <c r="W1314" s="1037"/>
      <c r="X1314" s="1037"/>
      <c r="Y1314" s="1037"/>
      <c r="Z1314" s="1037"/>
      <c r="AA1314" s="1037"/>
      <c r="AB1314" s="1037"/>
      <c r="AC1314" s="1037"/>
      <c r="AD1314" s="1037"/>
      <c r="AE1314" s="1037"/>
      <c r="AF1314" s="1037"/>
      <c r="AG1314" s="1037"/>
      <c r="AH1314" s="1037"/>
      <c r="AI1314" s="1037"/>
      <c r="AJ1314" s="1037"/>
      <c r="AK1314" s="1037"/>
      <c r="AL1314" s="1037"/>
      <c r="AM1314" s="1037"/>
      <c r="AN1314" s="1037"/>
      <c r="AO1314" s="1037"/>
      <c r="AP1314" s="1037"/>
    </row>
    <row r="1315" spans="1:42" s="226" customFormat="1">
      <c r="A1315" s="2060"/>
      <c r="B1315" s="1037"/>
      <c r="C1315" s="1037"/>
      <c r="D1315" s="1037"/>
      <c r="E1315" s="1037"/>
      <c r="F1315" s="1037"/>
      <c r="G1315" s="1037"/>
      <c r="H1315" s="1018"/>
      <c r="I1315" s="1037"/>
      <c r="J1315" s="1037"/>
      <c r="K1315" s="1037"/>
      <c r="L1315" s="1037"/>
      <c r="M1315" s="1037"/>
      <c r="N1315" s="1037"/>
      <c r="O1315" s="1037"/>
      <c r="P1315" s="1037"/>
      <c r="Q1315" s="1037"/>
      <c r="R1315" s="1037"/>
      <c r="S1315" s="1037"/>
      <c r="T1315" s="1037"/>
      <c r="U1315" s="1037"/>
      <c r="V1315" s="1037"/>
      <c r="W1315" s="1037"/>
      <c r="X1315" s="1037"/>
      <c r="Y1315" s="1037"/>
      <c r="Z1315" s="1037"/>
      <c r="AA1315" s="1037"/>
      <c r="AB1315" s="1037"/>
      <c r="AC1315" s="1037"/>
      <c r="AD1315" s="1037"/>
      <c r="AE1315" s="1037"/>
      <c r="AF1315" s="1037"/>
      <c r="AG1315" s="1037"/>
      <c r="AH1315" s="1037"/>
      <c r="AI1315" s="1037"/>
      <c r="AJ1315" s="1037"/>
      <c r="AK1315" s="1037"/>
      <c r="AL1315" s="1037"/>
      <c r="AM1315" s="1037"/>
      <c r="AN1315" s="1037"/>
      <c r="AO1315" s="1037"/>
      <c r="AP1315" s="1037"/>
    </row>
    <row r="1316" spans="1:42" s="226" customFormat="1">
      <c r="A1316" s="2060"/>
      <c r="B1316" s="1037"/>
      <c r="C1316" s="1037"/>
      <c r="D1316" s="1037"/>
      <c r="E1316" s="1037"/>
      <c r="F1316" s="1037"/>
      <c r="G1316" s="1037"/>
      <c r="H1316" s="1018"/>
      <c r="I1316" s="1037"/>
      <c r="J1316" s="1037"/>
      <c r="K1316" s="1037"/>
      <c r="L1316" s="1037"/>
      <c r="M1316" s="1037"/>
      <c r="N1316" s="1037"/>
      <c r="O1316" s="1037"/>
      <c r="P1316" s="1037"/>
      <c r="Q1316" s="1037"/>
      <c r="R1316" s="1037"/>
      <c r="S1316" s="1037"/>
      <c r="T1316" s="1037"/>
      <c r="U1316" s="1037"/>
      <c r="V1316" s="1037"/>
      <c r="W1316" s="1037"/>
      <c r="X1316" s="1037"/>
      <c r="Y1316" s="1037"/>
      <c r="Z1316" s="1037"/>
      <c r="AA1316" s="1037"/>
      <c r="AB1316" s="1037"/>
      <c r="AC1316" s="1037"/>
      <c r="AD1316" s="1037"/>
      <c r="AE1316" s="1037"/>
      <c r="AF1316" s="1037"/>
      <c r="AG1316" s="1037"/>
      <c r="AH1316" s="1037"/>
      <c r="AI1316" s="1037"/>
      <c r="AJ1316" s="1037"/>
      <c r="AK1316" s="1037"/>
      <c r="AL1316" s="1037"/>
      <c r="AM1316" s="1037"/>
      <c r="AN1316" s="1037"/>
      <c r="AO1316" s="1037"/>
      <c r="AP1316" s="1037"/>
    </row>
    <row r="1317" spans="1:42" s="226" customFormat="1">
      <c r="A1317" s="2060"/>
      <c r="B1317" s="1037"/>
      <c r="C1317" s="1037"/>
      <c r="D1317" s="1037"/>
      <c r="E1317" s="1037"/>
      <c r="F1317" s="1037"/>
      <c r="G1317" s="1037"/>
      <c r="H1317" s="1018"/>
      <c r="I1317" s="1037"/>
      <c r="J1317" s="1037"/>
      <c r="K1317" s="1037"/>
      <c r="L1317" s="1037"/>
      <c r="M1317" s="1037"/>
      <c r="N1317" s="1037"/>
      <c r="O1317" s="1037"/>
      <c r="P1317" s="1037"/>
      <c r="Q1317" s="1037"/>
      <c r="R1317" s="1037"/>
      <c r="S1317" s="1037"/>
      <c r="T1317" s="1037"/>
      <c r="U1317" s="1037"/>
      <c r="V1317" s="1037"/>
      <c r="W1317" s="1037"/>
      <c r="X1317" s="1037"/>
      <c r="Y1317" s="1037"/>
      <c r="Z1317" s="1037"/>
      <c r="AA1317" s="1037"/>
      <c r="AB1317" s="1037"/>
      <c r="AC1317" s="1037"/>
      <c r="AD1317" s="1037"/>
      <c r="AE1317" s="1037"/>
      <c r="AF1317" s="1037"/>
      <c r="AG1317" s="1037"/>
      <c r="AH1317" s="1037"/>
      <c r="AI1317" s="1037"/>
      <c r="AJ1317" s="1037"/>
      <c r="AK1317" s="1037"/>
      <c r="AL1317" s="1037"/>
      <c r="AM1317" s="1037"/>
      <c r="AN1317" s="1037"/>
      <c r="AO1317" s="1037"/>
      <c r="AP1317" s="1037"/>
    </row>
    <row r="1318" spans="1:42" s="226" customFormat="1">
      <c r="A1318" s="2060"/>
      <c r="B1318" s="1037"/>
      <c r="C1318" s="1037"/>
      <c r="D1318" s="1037"/>
      <c r="E1318" s="1037"/>
      <c r="F1318" s="1037"/>
      <c r="G1318" s="1037"/>
      <c r="H1318" s="1018"/>
      <c r="I1318" s="1037"/>
      <c r="J1318" s="1037"/>
      <c r="K1318" s="1037"/>
      <c r="L1318" s="1037"/>
      <c r="M1318" s="1037"/>
      <c r="N1318" s="1037"/>
      <c r="O1318" s="1037"/>
      <c r="P1318" s="1037"/>
      <c r="Q1318" s="1037"/>
      <c r="R1318" s="1037"/>
      <c r="S1318" s="1037"/>
      <c r="T1318" s="1037"/>
      <c r="U1318" s="1037"/>
      <c r="V1318" s="1037"/>
      <c r="W1318" s="1037"/>
      <c r="X1318" s="1037"/>
      <c r="Y1318" s="1037"/>
      <c r="Z1318" s="1037"/>
      <c r="AA1318" s="1037"/>
      <c r="AB1318" s="1037"/>
      <c r="AC1318" s="1037"/>
      <c r="AD1318" s="1037"/>
      <c r="AE1318" s="1037"/>
      <c r="AF1318" s="1037"/>
      <c r="AG1318" s="1037"/>
      <c r="AH1318" s="1037"/>
      <c r="AI1318" s="1037"/>
      <c r="AJ1318" s="1037"/>
      <c r="AK1318" s="1037"/>
      <c r="AL1318" s="1037"/>
      <c r="AM1318" s="1037"/>
      <c r="AN1318" s="1037"/>
      <c r="AO1318" s="1037"/>
      <c r="AP1318" s="1037"/>
    </row>
    <row r="1319" spans="1:42" s="226" customFormat="1">
      <c r="A1319" s="2060"/>
      <c r="B1319" s="1037"/>
      <c r="C1319" s="1037"/>
      <c r="D1319" s="1037"/>
      <c r="E1319" s="1037"/>
      <c r="F1319" s="1037"/>
      <c r="G1319" s="1037"/>
      <c r="H1319" s="1018"/>
      <c r="I1319" s="1037"/>
      <c r="J1319" s="1037"/>
      <c r="K1319" s="1037"/>
      <c r="L1319" s="1037"/>
      <c r="M1319" s="1037"/>
      <c r="N1319" s="1037"/>
      <c r="O1319" s="1037"/>
      <c r="P1319" s="1037"/>
      <c r="Q1319" s="1037"/>
      <c r="R1319" s="1037"/>
      <c r="S1319" s="1037"/>
      <c r="T1319" s="1037"/>
      <c r="U1319" s="1037"/>
      <c r="V1319" s="1037"/>
      <c r="W1319" s="1037"/>
      <c r="X1319" s="1037"/>
      <c r="Y1319" s="1037"/>
      <c r="Z1319" s="1037"/>
      <c r="AA1319" s="1037"/>
      <c r="AB1319" s="1037"/>
      <c r="AC1319" s="1037"/>
      <c r="AD1319" s="1037"/>
      <c r="AE1319" s="1037"/>
      <c r="AF1319" s="1037"/>
      <c r="AG1319" s="1037"/>
      <c r="AH1319" s="1037"/>
      <c r="AI1319" s="1037"/>
      <c r="AJ1319" s="1037"/>
      <c r="AK1319" s="1037"/>
      <c r="AL1319" s="1037"/>
      <c r="AM1319" s="1037"/>
      <c r="AN1319" s="1037"/>
      <c r="AO1319" s="1037"/>
      <c r="AP1319" s="1037"/>
    </row>
    <row r="1320" spans="1:42" s="226" customFormat="1">
      <c r="A1320" s="2060"/>
      <c r="B1320" s="1037"/>
      <c r="C1320" s="1037"/>
      <c r="D1320" s="1037"/>
      <c r="E1320" s="1037"/>
      <c r="F1320" s="1037"/>
      <c r="G1320" s="1037"/>
      <c r="H1320" s="1018"/>
      <c r="I1320" s="1037"/>
      <c r="J1320" s="1037"/>
      <c r="K1320" s="1037"/>
      <c r="L1320" s="1037"/>
      <c r="M1320" s="1037"/>
      <c r="N1320" s="1037"/>
      <c r="O1320" s="1037"/>
      <c r="P1320" s="1037"/>
      <c r="Q1320" s="1037"/>
      <c r="R1320" s="1037"/>
      <c r="S1320" s="1037"/>
      <c r="T1320" s="1037"/>
      <c r="U1320" s="1037"/>
      <c r="V1320" s="1037"/>
      <c r="W1320" s="1037"/>
      <c r="X1320" s="1037"/>
      <c r="Y1320" s="1037"/>
      <c r="Z1320" s="1037"/>
      <c r="AA1320" s="1037"/>
      <c r="AB1320" s="1037"/>
      <c r="AC1320" s="1037"/>
      <c r="AD1320" s="1037"/>
      <c r="AE1320" s="1037"/>
      <c r="AF1320" s="1037"/>
      <c r="AG1320" s="1037"/>
      <c r="AH1320" s="1037"/>
      <c r="AI1320" s="1037"/>
      <c r="AJ1320" s="1037"/>
      <c r="AK1320" s="1037"/>
      <c r="AL1320" s="1037"/>
      <c r="AM1320" s="1037"/>
      <c r="AN1320" s="1037"/>
      <c r="AO1320" s="1037"/>
      <c r="AP1320" s="1037"/>
    </row>
    <row r="1321" spans="1:42" s="226" customFormat="1">
      <c r="A1321" s="2060"/>
      <c r="B1321" s="1037"/>
      <c r="C1321" s="1037"/>
      <c r="D1321" s="1037"/>
      <c r="E1321" s="1037"/>
      <c r="F1321" s="1037"/>
      <c r="G1321" s="1037"/>
      <c r="H1321" s="1018"/>
      <c r="I1321" s="1037"/>
      <c r="J1321" s="1037"/>
      <c r="K1321" s="1037"/>
      <c r="L1321" s="1037"/>
      <c r="M1321" s="1037"/>
      <c r="N1321" s="1037"/>
      <c r="O1321" s="1037"/>
      <c r="P1321" s="1037"/>
      <c r="Q1321" s="1037"/>
      <c r="R1321" s="1037"/>
      <c r="S1321" s="1037"/>
      <c r="T1321" s="1037"/>
      <c r="U1321" s="1037"/>
      <c r="V1321" s="1037"/>
      <c r="W1321" s="1037"/>
      <c r="X1321" s="1037"/>
      <c r="Y1321" s="1037"/>
      <c r="Z1321" s="1037"/>
      <c r="AA1321" s="1037"/>
      <c r="AB1321" s="1037"/>
      <c r="AC1321" s="1037"/>
      <c r="AD1321" s="1037"/>
      <c r="AE1321" s="1037"/>
      <c r="AF1321" s="1037"/>
      <c r="AG1321" s="1037"/>
      <c r="AH1321" s="1037"/>
      <c r="AI1321" s="1037"/>
      <c r="AJ1321" s="1037"/>
      <c r="AK1321" s="1037"/>
      <c r="AL1321" s="1037"/>
      <c r="AM1321" s="1037"/>
      <c r="AN1321" s="1037"/>
      <c r="AO1321" s="1037"/>
      <c r="AP1321" s="1037"/>
    </row>
    <row r="1322" spans="1:42" s="226" customFormat="1">
      <c r="A1322" s="2060"/>
      <c r="B1322" s="1037"/>
      <c r="C1322" s="1037"/>
      <c r="D1322" s="1037"/>
      <c r="E1322" s="1037"/>
      <c r="F1322" s="1037"/>
      <c r="G1322" s="1037"/>
      <c r="H1322" s="1018"/>
      <c r="I1322" s="1037"/>
      <c r="J1322" s="1037"/>
      <c r="K1322" s="1037"/>
      <c r="L1322" s="1037"/>
      <c r="M1322" s="1037"/>
      <c r="N1322" s="1037"/>
      <c r="O1322" s="1037"/>
      <c r="P1322" s="1037"/>
      <c r="Q1322" s="1037"/>
      <c r="R1322" s="1037"/>
      <c r="S1322" s="1037"/>
      <c r="T1322" s="1037"/>
      <c r="U1322" s="1037"/>
      <c r="V1322" s="1037"/>
      <c r="W1322" s="1037"/>
      <c r="X1322" s="1037"/>
      <c r="Y1322" s="1037"/>
      <c r="Z1322" s="1037"/>
      <c r="AA1322" s="1037"/>
      <c r="AB1322" s="1037"/>
      <c r="AC1322" s="1037"/>
      <c r="AD1322" s="1037"/>
      <c r="AE1322" s="1037"/>
      <c r="AF1322" s="1037"/>
      <c r="AG1322" s="1037"/>
      <c r="AH1322" s="1037"/>
      <c r="AI1322" s="1037"/>
      <c r="AJ1322" s="1037"/>
      <c r="AK1322" s="1037"/>
      <c r="AL1322" s="1037"/>
      <c r="AM1322" s="1037"/>
      <c r="AN1322" s="1037"/>
      <c r="AO1322" s="1037"/>
      <c r="AP1322" s="1037"/>
    </row>
    <row r="1323" spans="1:42" s="226" customFormat="1">
      <c r="A1323" s="2060"/>
      <c r="B1323" s="1037"/>
      <c r="C1323" s="1037"/>
      <c r="D1323" s="1037"/>
      <c r="E1323" s="1037"/>
      <c r="F1323" s="1037"/>
      <c r="G1323" s="1037"/>
      <c r="H1323" s="1018"/>
      <c r="I1323" s="1037"/>
      <c r="J1323" s="1037"/>
      <c r="K1323" s="1037"/>
      <c r="L1323" s="1037"/>
      <c r="M1323" s="1037"/>
      <c r="N1323" s="1037"/>
      <c r="O1323" s="1037"/>
      <c r="P1323" s="1037"/>
      <c r="Q1323" s="1037"/>
      <c r="R1323" s="1037"/>
      <c r="S1323" s="1037"/>
      <c r="T1323" s="1037"/>
      <c r="U1323" s="1037"/>
      <c r="V1323" s="1037"/>
      <c r="W1323" s="1037"/>
      <c r="X1323" s="1037"/>
      <c r="Y1323" s="1037"/>
      <c r="Z1323" s="1037"/>
      <c r="AA1323" s="1037"/>
      <c r="AB1323" s="1037"/>
      <c r="AC1323" s="1037"/>
      <c r="AD1323" s="1037"/>
      <c r="AE1323" s="1037"/>
      <c r="AF1323" s="1037"/>
      <c r="AG1323" s="1037"/>
      <c r="AH1323" s="1037"/>
      <c r="AI1323" s="1037"/>
      <c r="AJ1323" s="1037"/>
      <c r="AK1323" s="1037"/>
      <c r="AL1323" s="1037"/>
      <c r="AM1323" s="1037"/>
      <c r="AN1323" s="1037"/>
      <c r="AO1323" s="1037"/>
      <c r="AP1323" s="1037"/>
    </row>
    <row r="1324" spans="1:42" s="226" customFormat="1">
      <c r="A1324" s="2060"/>
      <c r="B1324" s="1037"/>
      <c r="C1324" s="1037"/>
      <c r="D1324" s="1037"/>
      <c r="E1324" s="1037"/>
      <c r="F1324" s="1037"/>
      <c r="G1324" s="1037"/>
      <c r="H1324" s="1018"/>
      <c r="I1324" s="1037"/>
      <c r="J1324" s="1037"/>
      <c r="K1324" s="1037"/>
      <c r="L1324" s="1037"/>
      <c r="M1324" s="1037"/>
      <c r="N1324" s="1037"/>
      <c r="O1324" s="1037"/>
      <c r="P1324" s="1037"/>
      <c r="Q1324" s="1037"/>
      <c r="R1324" s="1037"/>
      <c r="S1324" s="1037"/>
      <c r="T1324" s="1037"/>
      <c r="U1324" s="1037"/>
      <c r="V1324" s="1037"/>
      <c r="W1324" s="1037"/>
      <c r="X1324" s="1037"/>
      <c r="Y1324" s="1037"/>
      <c r="Z1324" s="1037"/>
      <c r="AA1324" s="1037"/>
      <c r="AB1324" s="1037"/>
      <c r="AC1324" s="1037"/>
      <c r="AD1324" s="1037"/>
      <c r="AE1324" s="1037"/>
      <c r="AF1324" s="1037"/>
      <c r="AG1324" s="1037"/>
      <c r="AH1324" s="1037"/>
      <c r="AI1324" s="1037"/>
      <c r="AJ1324" s="1037"/>
      <c r="AK1324" s="1037"/>
      <c r="AL1324" s="1037"/>
      <c r="AM1324" s="1037"/>
      <c r="AN1324" s="1037"/>
      <c r="AO1324" s="1037"/>
      <c r="AP1324" s="1037"/>
    </row>
    <row r="1325" spans="1:42" s="226" customFormat="1">
      <c r="A1325" s="2060"/>
      <c r="B1325" s="1037"/>
      <c r="C1325" s="1037"/>
      <c r="D1325" s="1037"/>
      <c r="E1325" s="1037"/>
      <c r="F1325" s="1037"/>
      <c r="G1325" s="1037"/>
      <c r="H1325" s="1018"/>
      <c r="I1325" s="1037"/>
      <c r="J1325" s="1037"/>
      <c r="K1325" s="1037"/>
      <c r="L1325" s="1037"/>
      <c r="M1325" s="1037"/>
      <c r="N1325" s="1037"/>
      <c r="O1325" s="1037"/>
      <c r="P1325" s="1037"/>
      <c r="Q1325" s="1037"/>
      <c r="R1325" s="1037"/>
      <c r="S1325" s="1037"/>
      <c r="T1325" s="1037"/>
      <c r="U1325" s="1037"/>
      <c r="V1325" s="1037"/>
      <c r="W1325" s="1037"/>
      <c r="X1325" s="1037"/>
      <c r="Y1325" s="1037"/>
      <c r="Z1325" s="1037"/>
      <c r="AA1325" s="1037"/>
      <c r="AB1325" s="1037"/>
      <c r="AC1325" s="1037"/>
      <c r="AD1325" s="1037"/>
      <c r="AE1325" s="1037"/>
      <c r="AF1325" s="1037"/>
      <c r="AG1325" s="1037"/>
      <c r="AH1325" s="1037"/>
      <c r="AI1325" s="1037"/>
      <c r="AJ1325" s="1037"/>
      <c r="AK1325" s="1037"/>
      <c r="AL1325" s="1037"/>
      <c r="AM1325" s="1037"/>
      <c r="AN1325" s="1037"/>
      <c r="AO1325" s="1037"/>
      <c r="AP1325" s="1037"/>
    </row>
    <row r="1326" spans="1:42" s="226" customFormat="1">
      <c r="A1326" s="2060"/>
      <c r="B1326" s="1037"/>
      <c r="C1326" s="1037"/>
      <c r="D1326" s="1037"/>
      <c r="E1326" s="1037"/>
      <c r="F1326" s="1037"/>
      <c r="G1326" s="1037"/>
      <c r="H1326" s="1018"/>
      <c r="I1326" s="1037"/>
      <c r="J1326" s="1037"/>
      <c r="K1326" s="1037"/>
      <c r="L1326" s="1037"/>
      <c r="M1326" s="1037"/>
      <c r="N1326" s="1037"/>
      <c r="O1326" s="1037"/>
      <c r="P1326" s="1037"/>
      <c r="Q1326" s="1037"/>
      <c r="R1326" s="1037"/>
      <c r="S1326" s="1037"/>
      <c r="T1326" s="1037"/>
      <c r="U1326" s="1037"/>
      <c r="V1326" s="1037"/>
      <c r="W1326" s="1037"/>
      <c r="X1326" s="1037"/>
      <c r="Y1326" s="1037"/>
      <c r="Z1326" s="1037"/>
      <c r="AA1326" s="1037"/>
      <c r="AB1326" s="1037"/>
      <c r="AC1326" s="1037"/>
      <c r="AD1326" s="1037"/>
      <c r="AE1326" s="1037"/>
      <c r="AF1326" s="1037"/>
      <c r="AG1326" s="1037"/>
      <c r="AH1326" s="1037"/>
      <c r="AI1326" s="1037"/>
      <c r="AJ1326" s="1037"/>
      <c r="AK1326" s="1037"/>
      <c r="AL1326" s="1037"/>
      <c r="AM1326" s="1037"/>
      <c r="AN1326" s="1037"/>
      <c r="AO1326" s="1037"/>
      <c r="AP1326" s="1037"/>
    </row>
    <row r="1327" spans="1:42" s="226" customFormat="1">
      <c r="A1327" s="2060"/>
      <c r="B1327" s="1037"/>
      <c r="C1327" s="1037"/>
      <c r="D1327" s="1037"/>
      <c r="E1327" s="1037"/>
      <c r="F1327" s="1037"/>
      <c r="G1327" s="1037"/>
      <c r="H1327" s="1018"/>
      <c r="I1327" s="1037"/>
      <c r="J1327" s="1037"/>
      <c r="K1327" s="1037"/>
      <c r="L1327" s="1037"/>
      <c r="M1327" s="1037"/>
      <c r="N1327" s="1037"/>
      <c r="O1327" s="1037"/>
      <c r="P1327" s="1037"/>
      <c r="Q1327" s="1037"/>
      <c r="R1327" s="1037"/>
      <c r="S1327" s="1037"/>
      <c r="T1327" s="1037"/>
      <c r="U1327" s="1037"/>
      <c r="V1327" s="1037"/>
      <c r="W1327" s="1037"/>
      <c r="X1327" s="1037"/>
      <c r="Y1327" s="1037"/>
      <c r="Z1327" s="1037"/>
      <c r="AA1327" s="1037"/>
      <c r="AB1327" s="1037"/>
      <c r="AC1327" s="1037"/>
      <c r="AD1327" s="1037"/>
      <c r="AE1327" s="1037"/>
      <c r="AF1327" s="1037"/>
      <c r="AG1327" s="1037"/>
      <c r="AH1327" s="1037"/>
      <c r="AI1327" s="1037"/>
      <c r="AJ1327" s="1037"/>
      <c r="AK1327" s="1037"/>
      <c r="AL1327" s="1037"/>
      <c r="AM1327" s="1037"/>
      <c r="AN1327" s="1037"/>
      <c r="AO1327" s="1037"/>
      <c r="AP1327" s="1037"/>
    </row>
    <row r="1328" spans="1:42" s="226" customFormat="1">
      <c r="A1328" s="2060"/>
      <c r="B1328" s="1037"/>
      <c r="C1328" s="1037"/>
      <c r="D1328" s="1037"/>
      <c r="E1328" s="1037"/>
      <c r="F1328" s="1037"/>
      <c r="G1328" s="1037"/>
      <c r="H1328" s="1018"/>
      <c r="I1328" s="1037"/>
      <c r="J1328" s="1037"/>
      <c r="K1328" s="1037"/>
      <c r="L1328" s="1037"/>
      <c r="M1328" s="1037"/>
      <c r="N1328" s="1037"/>
      <c r="O1328" s="1037"/>
      <c r="P1328" s="1037"/>
      <c r="Q1328" s="1037"/>
      <c r="R1328" s="1037"/>
      <c r="S1328" s="1037"/>
      <c r="T1328" s="1037"/>
      <c r="U1328" s="1037"/>
      <c r="V1328" s="1037"/>
      <c r="W1328" s="1037"/>
      <c r="X1328" s="1037"/>
      <c r="Y1328" s="1037"/>
      <c r="Z1328" s="1037"/>
      <c r="AA1328" s="1037"/>
      <c r="AB1328" s="1037"/>
      <c r="AC1328" s="1037"/>
      <c r="AD1328" s="1037"/>
      <c r="AE1328" s="1037"/>
      <c r="AF1328" s="1037"/>
      <c r="AG1328" s="1037"/>
      <c r="AH1328" s="1037"/>
      <c r="AI1328" s="1037"/>
      <c r="AJ1328" s="1037"/>
      <c r="AK1328" s="1037"/>
      <c r="AL1328" s="1037"/>
      <c r="AM1328" s="1037"/>
      <c r="AN1328" s="1037"/>
      <c r="AO1328" s="1037"/>
      <c r="AP1328" s="1037"/>
    </row>
    <row r="1329" spans="1:42" s="226" customFormat="1">
      <c r="A1329" s="2060"/>
      <c r="B1329" s="1037"/>
      <c r="C1329" s="1037"/>
      <c r="D1329" s="1037"/>
      <c r="E1329" s="1037"/>
      <c r="F1329" s="1037"/>
      <c r="G1329" s="1037"/>
      <c r="H1329" s="1018"/>
      <c r="I1329" s="1037"/>
      <c r="J1329" s="1037"/>
      <c r="K1329" s="1037"/>
      <c r="L1329" s="1037"/>
      <c r="M1329" s="1037"/>
      <c r="N1329" s="1037"/>
      <c r="O1329" s="1037"/>
      <c r="P1329" s="1037"/>
      <c r="Q1329" s="1037"/>
      <c r="R1329" s="1037"/>
      <c r="S1329" s="1037"/>
      <c r="T1329" s="1037"/>
      <c r="U1329" s="1037"/>
      <c r="V1329" s="1037"/>
      <c r="W1329" s="1037"/>
      <c r="X1329" s="1037"/>
      <c r="Y1329" s="1037"/>
      <c r="Z1329" s="1037"/>
      <c r="AA1329" s="1037"/>
      <c r="AB1329" s="1037"/>
      <c r="AC1329" s="1037"/>
      <c r="AD1329" s="1037"/>
      <c r="AE1329" s="1037"/>
      <c r="AF1329" s="1037"/>
      <c r="AG1329" s="1037"/>
      <c r="AH1329" s="1037"/>
      <c r="AI1329" s="1037"/>
      <c r="AJ1329" s="1037"/>
      <c r="AK1329" s="1037"/>
      <c r="AL1329" s="1037"/>
      <c r="AM1329" s="1037"/>
      <c r="AN1329" s="1037"/>
      <c r="AO1329" s="1037"/>
      <c r="AP1329" s="1037"/>
    </row>
    <row r="1330" spans="1:42" s="226" customFormat="1">
      <c r="A1330" s="2060"/>
      <c r="B1330" s="1037"/>
      <c r="C1330" s="1037"/>
      <c r="D1330" s="1037"/>
      <c r="E1330" s="1037"/>
      <c r="F1330" s="1037"/>
      <c r="G1330" s="1037"/>
      <c r="H1330" s="1018"/>
      <c r="I1330" s="1037"/>
      <c r="J1330" s="1037"/>
      <c r="K1330" s="1037"/>
      <c r="L1330" s="1037"/>
      <c r="M1330" s="1037"/>
      <c r="N1330" s="1037"/>
      <c r="O1330" s="1037"/>
      <c r="P1330" s="1037"/>
      <c r="Q1330" s="1037"/>
      <c r="R1330" s="1037"/>
      <c r="S1330" s="1037"/>
      <c r="T1330" s="1037"/>
      <c r="U1330" s="1037"/>
      <c r="V1330" s="1037"/>
      <c r="W1330" s="1037"/>
      <c r="X1330" s="1037"/>
      <c r="Y1330" s="1037"/>
      <c r="Z1330" s="1037"/>
      <c r="AA1330" s="1037"/>
      <c r="AB1330" s="1037"/>
      <c r="AC1330" s="1037"/>
      <c r="AD1330" s="1037"/>
      <c r="AE1330" s="1037"/>
      <c r="AF1330" s="1037"/>
      <c r="AG1330" s="1037"/>
      <c r="AH1330" s="1037"/>
      <c r="AI1330" s="1037"/>
      <c r="AJ1330" s="1037"/>
      <c r="AK1330" s="1037"/>
      <c r="AL1330" s="1037"/>
      <c r="AM1330" s="1037"/>
      <c r="AN1330" s="1037"/>
      <c r="AO1330" s="1037"/>
      <c r="AP1330" s="1037"/>
    </row>
    <row r="1331" spans="1:42" s="226" customFormat="1">
      <c r="A1331" s="2060"/>
      <c r="B1331" s="1037"/>
      <c r="C1331" s="1037"/>
      <c r="D1331" s="1037"/>
      <c r="E1331" s="1037"/>
      <c r="F1331" s="1037"/>
      <c r="G1331" s="1037"/>
      <c r="H1331" s="1018"/>
      <c r="I1331" s="1037"/>
      <c r="J1331" s="1037"/>
      <c r="K1331" s="1037"/>
      <c r="L1331" s="1037"/>
      <c r="M1331" s="1037"/>
      <c r="N1331" s="1037"/>
      <c r="O1331" s="1037"/>
      <c r="P1331" s="1037"/>
      <c r="Q1331" s="1037"/>
      <c r="R1331" s="1037"/>
      <c r="S1331" s="1037"/>
      <c r="T1331" s="1037"/>
      <c r="U1331" s="1037"/>
      <c r="V1331" s="1037"/>
      <c r="W1331" s="1037"/>
      <c r="X1331" s="1037"/>
      <c r="Y1331" s="1037"/>
      <c r="Z1331" s="1037"/>
      <c r="AA1331" s="1037"/>
      <c r="AB1331" s="1037"/>
      <c r="AC1331" s="1037"/>
      <c r="AD1331" s="1037"/>
      <c r="AE1331" s="1037"/>
      <c r="AF1331" s="1037"/>
      <c r="AG1331" s="1037"/>
      <c r="AH1331" s="1037"/>
      <c r="AI1331" s="1037"/>
      <c r="AJ1331" s="1037"/>
      <c r="AK1331" s="1037"/>
      <c r="AL1331" s="1037"/>
      <c r="AM1331" s="1037"/>
      <c r="AN1331" s="1037"/>
      <c r="AO1331" s="1037"/>
      <c r="AP1331" s="1037"/>
    </row>
    <row r="1332" spans="1:42" s="226" customFormat="1">
      <c r="A1332" s="2060"/>
      <c r="B1332" s="1037"/>
      <c r="C1332" s="1037"/>
      <c r="D1332" s="1037"/>
      <c r="E1332" s="1037"/>
      <c r="F1332" s="1037"/>
      <c r="G1332" s="1037"/>
      <c r="H1332" s="1018"/>
      <c r="I1332" s="1037"/>
      <c r="J1332" s="1037"/>
      <c r="K1332" s="1037"/>
      <c r="L1332" s="1037"/>
      <c r="M1332" s="1037"/>
      <c r="N1332" s="1037"/>
      <c r="O1332" s="1037"/>
      <c r="P1332" s="1037"/>
      <c r="Q1332" s="1037"/>
      <c r="R1332" s="1037"/>
      <c r="S1332" s="1037"/>
      <c r="T1332" s="1037"/>
      <c r="U1332" s="1037"/>
      <c r="V1332" s="1037"/>
      <c r="W1332" s="1037"/>
      <c r="X1332" s="1037"/>
      <c r="Y1332" s="1037"/>
      <c r="Z1332" s="1037"/>
      <c r="AA1332" s="1037"/>
      <c r="AB1332" s="1037"/>
      <c r="AC1332" s="1037"/>
      <c r="AD1332" s="1037"/>
      <c r="AE1332" s="1037"/>
      <c r="AF1332" s="1037"/>
      <c r="AG1332" s="1037"/>
      <c r="AH1332" s="1037"/>
      <c r="AI1332" s="1037"/>
      <c r="AJ1332" s="1037"/>
      <c r="AK1332" s="1037"/>
      <c r="AL1332" s="1037"/>
      <c r="AM1332" s="1037"/>
      <c r="AN1332" s="1037"/>
      <c r="AO1332" s="1037"/>
      <c r="AP1332" s="1037"/>
    </row>
    <row r="1333" spans="1:42" s="226" customFormat="1">
      <c r="A1333" s="2060"/>
      <c r="B1333" s="1037"/>
      <c r="C1333" s="1037"/>
      <c r="D1333" s="1037"/>
      <c r="E1333" s="1037"/>
      <c r="F1333" s="1037"/>
      <c r="G1333" s="1037"/>
      <c r="H1333" s="1018"/>
      <c r="I1333" s="1037"/>
      <c r="J1333" s="1037"/>
      <c r="K1333" s="1037"/>
      <c r="L1333" s="1037"/>
      <c r="M1333" s="1037"/>
      <c r="N1333" s="1037"/>
      <c r="O1333" s="1037"/>
      <c r="P1333" s="1037"/>
      <c r="Q1333" s="1037"/>
      <c r="R1333" s="1037"/>
      <c r="S1333" s="1037"/>
      <c r="T1333" s="1037"/>
      <c r="U1333" s="1037"/>
      <c r="V1333" s="1037"/>
      <c r="W1333" s="1037"/>
      <c r="X1333" s="1037"/>
      <c r="Y1333" s="1037"/>
      <c r="Z1333" s="1037"/>
      <c r="AA1333" s="1037"/>
      <c r="AB1333" s="1037"/>
      <c r="AC1333" s="1037"/>
      <c r="AD1333" s="1037"/>
      <c r="AE1333" s="1037"/>
      <c r="AF1333" s="1037"/>
      <c r="AG1333" s="1037"/>
      <c r="AH1333" s="1037"/>
      <c r="AI1333" s="1037"/>
      <c r="AJ1333" s="1037"/>
      <c r="AK1333" s="1037"/>
      <c r="AL1333" s="1037"/>
      <c r="AM1333" s="1037"/>
      <c r="AN1333" s="1037"/>
      <c r="AO1333" s="1037"/>
      <c r="AP1333" s="1037"/>
    </row>
    <row r="1334" spans="1:42" s="226" customFormat="1">
      <c r="A1334" s="2060"/>
      <c r="B1334" s="1037"/>
      <c r="C1334" s="1037"/>
      <c r="D1334" s="1037"/>
      <c r="E1334" s="1037"/>
      <c r="F1334" s="1037"/>
      <c r="G1334" s="1037"/>
      <c r="H1334" s="1018"/>
      <c r="I1334" s="1037"/>
      <c r="J1334" s="1037"/>
      <c r="K1334" s="1037"/>
      <c r="L1334" s="1037"/>
      <c r="M1334" s="1037"/>
      <c r="N1334" s="1037"/>
      <c r="O1334" s="1037"/>
      <c r="P1334" s="1037"/>
      <c r="Q1334" s="1037"/>
      <c r="R1334" s="1037"/>
      <c r="S1334" s="1037"/>
      <c r="T1334" s="1037"/>
      <c r="U1334" s="1037"/>
      <c r="V1334" s="1037"/>
      <c r="W1334" s="1037"/>
      <c r="X1334" s="1037"/>
      <c r="Y1334" s="1037"/>
      <c r="Z1334" s="1037"/>
      <c r="AA1334" s="1037"/>
      <c r="AB1334" s="1037"/>
      <c r="AC1334" s="1037"/>
      <c r="AD1334" s="1037"/>
      <c r="AE1334" s="1037"/>
      <c r="AF1334" s="1037"/>
      <c r="AG1334" s="1037"/>
      <c r="AH1334" s="1037"/>
      <c r="AI1334" s="1037"/>
      <c r="AJ1334" s="1037"/>
      <c r="AK1334" s="1037"/>
      <c r="AL1334" s="1037"/>
      <c r="AM1334" s="1037"/>
      <c r="AN1334" s="1037"/>
      <c r="AO1334" s="1037"/>
      <c r="AP1334" s="1037"/>
    </row>
    <row r="1335" spans="1:42" s="226" customFormat="1">
      <c r="A1335" s="2060"/>
      <c r="B1335" s="1037"/>
      <c r="C1335" s="1037"/>
      <c r="D1335" s="1037"/>
      <c r="E1335" s="1037"/>
      <c r="F1335" s="1037"/>
      <c r="G1335" s="1037"/>
      <c r="H1335" s="1018"/>
      <c r="I1335" s="1037"/>
      <c r="J1335" s="1037"/>
      <c r="K1335" s="1037"/>
      <c r="L1335" s="1037"/>
      <c r="M1335" s="1037"/>
      <c r="N1335" s="1037"/>
      <c r="O1335" s="1037"/>
      <c r="P1335" s="1037"/>
      <c r="Q1335" s="1037"/>
      <c r="R1335" s="1037"/>
      <c r="S1335" s="1037"/>
      <c r="T1335" s="1037"/>
      <c r="U1335" s="1037"/>
      <c r="V1335" s="1037"/>
      <c r="W1335" s="1037"/>
      <c r="X1335" s="1037"/>
      <c r="Y1335" s="1037"/>
      <c r="Z1335" s="1037"/>
      <c r="AA1335" s="1037"/>
      <c r="AB1335" s="1037"/>
      <c r="AC1335" s="1037"/>
      <c r="AD1335" s="1037"/>
      <c r="AE1335" s="1037"/>
      <c r="AF1335" s="1037"/>
      <c r="AG1335" s="1037"/>
      <c r="AH1335" s="1037"/>
      <c r="AI1335" s="1037"/>
      <c r="AJ1335" s="1037"/>
      <c r="AK1335" s="1037"/>
      <c r="AL1335" s="1037"/>
      <c r="AM1335" s="1037"/>
      <c r="AN1335" s="1037"/>
      <c r="AO1335" s="1037"/>
      <c r="AP1335" s="1037"/>
    </row>
    <row r="1336" spans="1:42" s="226" customFormat="1">
      <c r="A1336" s="2060"/>
      <c r="B1336" s="1037"/>
      <c r="C1336" s="1037"/>
      <c r="D1336" s="1037"/>
      <c r="E1336" s="1037"/>
      <c r="F1336" s="1037"/>
      <c r="G1336" s="1037"/>
      <c r="H1336" s="1018"/>
      <c r="I1336" s="1037"/>
      <c r="J1336" s="1037"/>
      <c r="K1336" s="1037"/>
      <c r="L1336" s="1037"/>
      <c r="M1336" s="1037"/>
      <c r="N1336" s="1037"/>
      <c r="O1336" s="1037"/>
      <c r="P1336" s="1037"/>
      <c r="Q1336" s="1037"/>
      <c r="R1336" s="1037"/>
      <c r="S1336" s="1037"/>
      <c r="T1336" s="1037"/>
      <c r="U1336" s="1037"/>
      <c r="V1336" s="1037"/>
      <c r="W1336" s="1037"/>
      <c r="X1336" s="1037"/>
      <c r="Y1336" s="1037"/>
      <c r="Z1336" s="1037"/>
      <c r="AA1336" s="1037"/>
      <c r="AB1336" s="1037"/>
      <c r="AC1336" s="1037"/>
      <c r="AD1336" s="1037"/>
      <c r="AE1336" s="1037"/>
      <c r="AF1336" s="1037"/>
      <c r="AG1336" s="1037"/>
      <c r="AH1336" s="1037"/>
      <c r="AI1336" s="1037"/>
      <c r="AJ1336" s="1037"/>
      <c r="AK1336" s="1037"/>
      <c r="AL1336" s="1037"/>
      <c r="AM1336" s="1037"/>
      <c r="AN1336" s="1037"/>
      <c r="AO1336" s="1037"/>
      <c r="AP1336" s="1037"/>
    </row>
    <row r="1337" spans="1:42" s="226" customFormat="1">
      <c r="A1337" s="2060"/>
      <c r="B1337" s="1037"/>
      <c r="C1337" s="1037"/>
      <c r="D1337" s="1037"/>
      <c r="E1337" s="1037"/>
      <c r="F1337" s="1037"/>
      <c r="G1337" s="1037"/>
      <c r="H1337" s="1018"/>
      <c r="I1337" s="1037"/>
      <c r="J1337" s="1037"/>
      <c r="K1337" s="1037"/>
      <c r="L1337" s="1037"/>
      <c r="M1337" s="1037"/>
      <c r="N1337" s="1037"/>
      <c r="O1337" s="1037"/>
      <c r="P1337" s="1037"/>
      <c r="Q1337" s="1037"/>
      <c r="R1337" s="1037"/>
      <c r="S1337" s="1037"/>
      <c r="T1337" s="1037"/>
      <c r="U1337" s="1037"/>
      <c r="V1337" s="1037"/>
      <c r="W1337" s="1037"/>
      <c r="X1337" s="1037"/>
      <c r="Y1337" s="1037"/>
      <c r="Z1337" s="1037"/>
      <c r="AA1337" s="1037"/>
      <c r="AB1337" s="1037"/>
      <c r="AC1337" s="1037"/>
      <c r="AD1337" s="1037"/>
      <c r="AE1337" s="1037"/>
      <c r="AF1337" s="1037"/>
      <c r="AG1337" s="1037"/>
      <c r="AH1337" s="1037"/>
      <c r="AI1337" s="1037"/>
      <c r="AJ1337" s="1037"/>
      <c r="AK1337" s="1037"/>
      <c r="AL1337" s="1037"/>
      <c r="AM1337" s="1037"/>
      <c r="AN1337" s="1037"/>
      <c r="AO1337" s="1037"/>
      <c r="AP1337" s="1037"/>
    </row>
    <row r="1338" spans="1:42" s="226" customFormat="1">
      <c r="A1338" s="2060"/>
      <c r="B1338" s="1037"/>
      <c r="C1338" s="1037"/>
      <c r="D1338" s="1037"/>
      <c r="E1338" s="1037"/>
      <c r="F1338" s="1037"/>
      <c r="G1338" s="1037"/>
      <c r="H1338" s="1018"/>
      <c r="I1338" s="1037"/>
      <c r="J1338" s="1037"/>
      <c r="K1338" s="1037"/>
      <c r="L1338" s="1037"/>
      <c r="M1338" s="1037"/>
      <c r="N1338" s="1037"/>
      <c r="O1338" s="1037"/>
      <c r="P1338" s="1037"/>
      <c r="Q1338" s="1037"/>
      <c r="R1338" s="1037"/>
      <c r="S1338" s="1037"/>
      <c r="T1338" s="1037"/>
      <c r="U1338" s="1037"/>
      <c r="V1338" s="1037"/>
      <c r="W1338" s="1037"/>
      <c r="X1338" s="1037"/>
      <c r="Y1338" s="1037"/>
      <c r="Z1338" s="1037"/>
      <c r="AA1338" s="1037"/>
      <c r="AB1338" s="1037"/>
      <c r="AC1338" s="1037"/>
      <c r="AD1338" s="1037"/>
      <c r="AE1338" s="1037"/>
      <c r="AF1338" s="1037"/>
      <c r="AG1338" s="1037"/>
      <c r="AH1338" s="1037"/>
      <c r="AI1338" s="1037"/>
      <c r="AJ1338" s="1037"/>
      <c r="AK1338" s="1037"/>
      <c r="AL1338" s="1037"/>
      <c r="AM1338" s="1037"/>
      <c r="AN1338" s="1037"/>
      <c r="AO1338" s="1037"/>
      <c r="AP1338" s="1037"/>
    </row>
    <row r="1339" spans="1:42" s="226" customFormat="1">
      <c r="A1339" s="2060"/>
      <c r="B1339" s="1037"/>
      <c r="C1339" s="1037"/>
      <c r="D1339" s="1037"/>
      <c r="E1339" s="1037"/>
      <c r="F1339" s="1037"/>
      <c r="G1339" s="1037"/>
      <c r="H1339" s="1018"/>
      <c r="I1339" s="1037"/>
      <c r="J1339" s="1037"/>
      <c r="K1339" s="1037"/>
      <c r="L1339" s="1037"/>
      <c r="M1339" s="1037"/>
      <c r="N1339" s="1037"/>
      <c r="O1339" s="1037"/>
      <c r="P1339" s="1037"/>
      <c r="Q1339" s="1037"/>
      <c r="R1339" s="1037"/>
      <c r="S1339" s="1037"/>
      <c r="T1339" s="1037"/>
      <c r="U1339" s="1037"/>
      <c r="V1339" s="1037"/>
      <c r="W1339" s="1037"/>
      <c r="X1339" s="1037"/>
      <c r="Y1339" s="1037"/>
      <c r="Z1339" s="1037"/>
      <c r="AA1339" s="1037"/>
      <c r="AB1339" s="1037"/>
      <c r="AC1339" s="1037"/>
      <c r="AD1339" s="1037"/>
      <c r="AE1339" s="1037"/>
      <c r="AF1339" s="1037"/>
      <c r="AG1339" s="1037"/>
      <c r="AH1339" s="1037"/>
      <c r="AI1339" s="1037"/>
      <c r="AJ1339" s="1037"/>
      <c r="AK1339" s="1037"/>
      <c r="AL1339" s="1037"/>
      <c r="AM1339" s="1037"/>
      <c r="AN1339" s="1037"/>
      <c r="AO1339" s="1037"/>
      <c r="AP1339" s="1037"/>
    </row>
    <row r="1340" spans="1:42" s="226" customFormat="1">
      <c r="A1340" s="2060"/>
      <c r="B1340" s="1037"/>
      <c r="C1340" s="1037"/>
      <c r="D1340" s="1037"/>
      <c r="E1340" s="1037"/>
      <c r="F1340" s="1037"/>
      <c r="G1340" s="1037"/>
      <c r="H1340" s="1018"/>
      <c r="I1340" s="1037"/>
      <c r="J1340" s="1037"/>
      <c r="K1340" s="1037"/>
      <c r="L1340" s="1037"/>
      <c r="M1340" s="1037"/>
      <c r="N1340" s="1037"/>
      <c r="O1340" s="1037"/>
      <c r="P1340" s="1037"/>
      <c r="Q1340" s="1037"/>
      <c r="R1340" s="1037"/>
      <c r="S1340" s="1037"/>
      <c r="T1340" s="1037"/>
      <c r="U1340" s="1037"/>
      <c r="V1340" s="1037"/>
      <c r="W1340" s="1037"/>
      <c r="X1340" s="1037"/>
      <c r="Y1340" s="1037"/>
      <c r="Z1340" s="1037"/>
      <c r="AA1340" s="1037"/>
      <c r="AB1340" s="1037"/>
      <c r="AC1340" s="1037"/>
      <c r="AD1340" s="1037"/>
      <c r="AE1340" s="1037"/>
      <c r="AF1340" s="1037"/>
      <c r="AG1340" s="1037"/>
      <c r="AH1340" s="1037"/>
      <c r="AI1340" s="1037"/>
      <c r="AJ1340" s="1037"/>
      <c r="AK1340" s="1037"/>
      <c r="AL1340" s="1037"/>
      <c r="AM1340" s="1037"/>
      <c r="AN1340" s="1037"/>
      <c r="AO1340" s="1037"/>
      <c r="AP1340" s="1037"/>
    </row>
    <row r="1341" spans="1:42" s="226" customFormat="1">
      <c r="A1341" s="2060"/>
      <c r="B1341" s="1037"/>
      <c r="C1341" s="1037"/>
      <c r="D1341" s="1037"/>
      <c r="E1341" s="1037"/>
      <c r="F1341" s="1037"/>
      <c r="G1341" s="1037"/>
      <c r="H1341" s="1018"/>
      <c r="I1341" s="1037"/>
      <c r="J1341" s="1037"/>
      <c r="K1341" s="1037"/>
      <c r="L1341" s="1037"/>
      <c r="M1341" s="1037"/>
      <c r="N1341" s="1037"/>
      <c r="O1341" s="1037"/>
      <c r="P1341" s="1037"/>
      <c r="Q1341" s="1037"/>
      <c r="R1341" s="1037"/>
      <c r="S1341" s="1037"/>
      <c r="T1341" s="1037"/>
      <c r="U1341" s="1037"/>
      <c r="V1341" s="1037"/>
      <c r="W1341" s="1037"/>
      <c r="X1341" s="1037"/>
      <c r="Y1341" s="1037"/>
      <c r="Z1341" s="1037"/>
      <c r="AA1341" s="1037"/>
      <c r="AB1341" s="1037"/>
      <c r="AC1341" s="1037"/>
      <c r="AD1341" s="1037"/>
      <c r="AE1341" s="1037"/>
      <c r="AF1341" s="1037"/>
      <c r="AG1341" s="1037"/>
      <c r="AH1341" s="1037"/>
      <c r="AI1341" s="1037"/>
      <c r="AJ1341" s="1037"/>
      <c r="AK1341" s="1037"/>
      <c r="AL1341" s="1037"/>
      <c r="AM1341" s="1037"/>
      <c r="AN1341" s="1037"/>
      <c r="AO1341" s="1037"/>
      <c r="AP1341" s="1037"/>
    </row>
    <row r="1342" spans="1:42" s="226" customFormat="1">
      <c r="A1342" s="2060"/>
      <c r="B1342" s="1037"/>
      <c r="C1342" s="1037"/>
      <c r="D1342" s="1037"/>
      <c r="E1342" s="1037"/>
      <c r="F1342" s="1037"/>
      <c r="G1342" s="1037"/>
      <c r="H1342" s="1018"/>
      <c r="I1342" s="1037"/>
      <c r="J1342" s="1037"/>
      <c r="K1342" s="1037"/>
      <c r="L1342" s="1037"/>
      <c r="M1342" s="1037"/>
      <c r="N1342" s="1037"/>
      <c r="O1342" s="1037"/>
      <c r="P1342" s="1037"/>
      <c r="Q1342" s="1037"/>
      <c r="R1342" s="1037"/>
      <c r="S1342" s="1037"/>
      <c r="T1342" s="1037"/>
      <c r="U1342" s="1037"/>
      <c r="V1342" s="1037"/>
      <c r="W1342" s="1037"/>
      <c r="X1342" s="1037"/>
      <c r="Y1342" s="1037"/>
      <c r="Z1342" s="1037"/>
      <c r="AA1342" s="1037"/>
      <c r="AB1342" s="1037"/>
      <c r="AC1342" s="1037"/>
      <c r="AD1342" s="1037"/>
      <c r="AE1342" s="1037"/>
      <c r="AF1342" s="1037"/>
      <c r="AG1342" s="1037"/>
      <c r="AH1342" s="1037"/>
      <c r="AI1342" s="1037"/>
      <c r="AJ1342" s="1037"/>
      <c r="AK1342" s="1037"/>
      <c r="AL1342" s="1037"/>
      <c r="AM1342" s="1037"/>
      <c r="AN1342" s="1037"/>
      <c r="AO1342" s="1037"/>
      <c r="AP1342" s="1037"/>
    </row>
    <row r="1343" spans="1:42" s="226" customFormat="1">
      <c r="A1343" s="2060"/>
      <c r="B1343" s="1037"/>
      <c r="C1343" s="1037"/>
      <c r="D1343" s="1037"/>
      <c r="E1343" s="1037"/>
      <c r="F1343" s="1037"/>
      <c r="G1343" s="1037"/>
      <c r="H1343" s="1018"/>
      <c r="I1343" s="1037"/>
      <c r="J1343" s="1037"/>
      <c r="K1343" s="1037"/>
      <c r="L1343" s="1037"/>
      <c r="M1343" s="1037"/>
      <c r="N1343" s="1037"/>
      <c r="O1343" s="1037"/>
      <c r="P1343" s="1037"/>
      <c r="Q1343" s="1037"/>
      <c r="R1343" s="1037"/>
      <c r="S1343" s="1037"/>
      <c r="T1343" s="1037"/>
      <c r="U1343" s="1037"/>
      <c r="V1343" s="1037"/>
      <c r="W1343" s="1037"/>
      <c r="X1343" s="1037"/>
      <c r="Y1343" s="1037"/>
      <c r="Z1343" s="1037"/>
      <c r="AA1343" s="1037"/>
      <c r="AB1343" s="1037"/>
      <c r="AC1343" s="1037"/>
      <c r="AD1343" s="1037"/>
      <c r="AE1343" s="1037"/>
      <c r="AF1343" s="1037"/>
      <c r="AG1343" s="1037"/>
      <c r="AH1343" s="1037"/>
      <c r="AI1343" s="1037"/>
      <c r="AJ1343" s="1037"/>
      <c r="AK1343" s="1037"/>
      <c r="AL1343" s="1037"/>
      <c r="AM1343" s="1037"/>
      <c r="AN1343" s="1037"/>
      <c r="AO1343" s="1037"/>
      <c r="AP1343" s="1037"/>
    </row>
    <row r="1344" spans="1:42" s="226" customFormat="1">
      <c r="A1344" s="2060"/>
      <c r="B1344" s="1037"/>
      <c r="C1344" s="1037"/>
      <c r="D1344" s="1037"/>
      <c r="E1344" s="1037"/>
      <c r="F1344" s="1037"/>
      <c r="G1344" s="1037"/>
      <c r="H1344" s="1018"/>
      <c r="I1344" s="1037"/>
      <c r="J1344" s="1037"/>
      <c r="K1344" s="1037"/>
      <c r="L1344" s="1037"/>
      <c r="M1344" s="1037"/>
      <c r="N1344" s="1037"/>
      <c r="O1344" s="1037"/>
      <c r="P1344" s="1037"/>
      <c r="Q1344" s="1037"/>
      <c r="R1344" s="1037"/>
      <c r="S1344" s="1037"/>
      <c r="T1344" s="1037"/>
      <c r="U1344" s="1037"/>
      <c r="V1344" s="1037"/>
      <c r="W1344" s="1037"/>
      <c r="X1344" s="1037"/>
      <c r="Y1344" s="1037"/>
      <c r="Z1344" s="1037"/>
      <c r="AA1344" s="1037"/>
      <c r="AB1344" s="1037"/>
      <c r="AC1344" s="1037"/>
      <c r="AD1344" s="1037"/>
      <c r="AE1344" s="1037"/>
      <c r="AF1344" s="1037"/>
      <c r="AG1344" s="1037"/>
      <c r="AH1344" s="1037"/>
      <c r="AI1344" s="1037"/>
      <c r="AJ1344" s="1037"/>
      <c r="AK1344" s="1037"/>
      <c r="AL1344" s="1037"/>
      <c r="AM1344" s="1037"/>
      <c r="AN1344" s="1037"/>
      <c r="AO1344" s="1037"/>
      <c r="AP1344" s="1037"/>
    </row>
    <row r="1345" spans="1:42" s="226" customFormat="1">
      <c r="A1345" s="2060"/>
      <c r="B1345" s="1037"/>
      <c r="C1345" s="1037"/>
      <c r="D1345" s="1037"/>
      <c r="E1345" s="1037"/>
      <c r="F1345" s="1037"/>
      <c r="G1345" s="1037"/>
      <c r="H1345" s="1018"/>
      <c r="I1345" s="1037"/>
      <c r="J1345" s="1037"/>
      <c r="K1345" s="1037"/>
      <c r="L1345" s="1037"/>
      <c r="M1345" s="1037"/>
      <c r="N1345" s="1037"/>
      <c r="O1345" s="1037"/>
      <c r="P1345" s="1037"/>
      <c r="Q1345" s="1037"/>
      <c r="R1345" s="1037"/>
      <c r="S1345" s="1037"/>
      <c r="T1345" s="1037"/>
      <c r="U1345" s="1037"/>
      <c r="V1345" s="1037"/>
      <c r="W1345" s="1037"/>
      <c r="X1345" s="1037"/>
      <c r="Y1345" s="1037"/>
      <c r="Z1345" s="1037"/>
      <c r="AA1345" s="1037"/>
      <c r="AB1345" s="1037"/>
      <c r="AC1345" s="1037"/>
      <c r="AD1345" s="1037"/>
      <c r="AE1345" s="1037"/>
      <c r="AF1345" s="1037"/>
      <c r="AG1345" s="1037"/>
      <c r="AH1345" s="1037"/>
      <c r="AI1345" s="1037"/>
      <c r="AJ1345" s="1037"/>
      <c r="AK1345" s="1037"/>
      <c r="AL1345" s="1037"/>
      <c r="AM1345" s="1037"/>
      <c r="AN1345" s="1037"/>
      <c r="AO1345" s="1037"/>
      <c r="AP1345" s="1037"/>
    </row>
    <row r="1346" spans="1:42" s="226" customFormat="1">
      <c r="A1346" s="2060"/>
      <c r="B1346" s="1037"/>
      <c r="C1346" s="1037"/>
      <c r="D1346" s="1037"/>
      <c r="E1346" s="1037"/>
      <c r="F1346" s="1037"/>
      <c r="G1346" s="1037"/>
      <c r="H1346" s="1018"/>
      <c r="I1346" s="1037"/>
      <c r="J1346" s="1037"/>
      <c r="K1346" s="1037"/>
      <c r="L1346" s="1037"/>
      <c r="M1346" s="1037"/>
      <c r="N1346" s="1037"/>
      <c r="O1346" s="1037"/>
      <c r="P1346" s="1037"/>
      <c r="Q1346" s="1037"/>
      <c r="R1346" s="1037"/>
      <c r="S1346" s="1037"/>
      <c r="T1346" s="1037"/>
      <c r="U1346" s="1037"/>
      <c r="V1346" s="1037"/>
      <c r="W1346" s="1037"/>
      <c r="X1346" s="1037"/>
      <c r="Y1346" s="1037"/>
      <c r="Z1346" s="1037"/>
      <c r="AA1346" s="1037"/>
      <c r="AB1346" s="1037"/>
      <c r="AC1346" s="1037"/>
      <c r="AD1346" s="1037"/>
      <c r="AE1346" s="1037"/>
      <c r="AF1346" s="1037"/>
      <c r="AG1346" s="1037"/>
      <c r="AH1346" s="1037"/>
      <c r="AI1346" s="1037"/>
      <c r="AJ1346" s="1037"/>
      <c r="AK1346" s="1037"/>
      <c r="AL1346" s="1037"/>
      <c r="AM1346" s="1037"/>
      <c r="AN1346" s="1037"/>
      <c r="AO1346" s="1037"/>
      <c r="AP1346" s="1037"/>
    </row>
    <row r="1347" spans="1:42" s="226" customFormat="1">
      <c r="A1347" s="2060"/>
      <c r="B1347" s="1037"/>
      <c r="C1347" s="1037"/>
      <c r="D1347" s="1037"/>
      <c r="E1347" s="1037"/>
      <c r="F1347" s="1037"/>
      <c r="G1347" s="1037"/>
      <c r="H1347" s="1018"/>
      <c r="I1347" s="1037"/>
      <c r="J1347" s="1037"/>
      <c r="K1347" s="1037"/>
      <c r="L1347" s="1037"/>
      <c r="M1347" s="1037"/>
      <c r="N1347" s="1037"/>
      <c r="O1347" s="1037"/>
      <c r="P1347" s="1037"/>
      <c r="Q1347" s="1037"/>
      <c r="R1347" s="1037"/>
      <c r="S1347" s="1037"/>
      <c r="T1347" s="1037"/>
      <c r="U1347" s="1037"/>
      <c r="V1347" s="1037"/>
      <c r="W1347" s="1037"/>
      <c r="X1347" s="1037"/>
      <c r="Y1347" s="1037"/>
      <c r="Z1347" s="1037"/>
      <c r="AA1347" s="1037"/>
      <c r="AB1347" s="1037"/>
      <c r="AC1347" s="1037"/>
      <c r="AD1347" s="1037"/>
      <c r="AE1347" s="1037"/>
      <c r="AF1347" s="1037"/>
      <c r="AG1347" s="1037"/>
      <c r="AH1347" s="1037"/>
      <c r="AI1347" s="1037"/>
      <c r="AJ1347" s="1037"/>
      <c r="AK1347" s="1037"/>
      <c r="AL1347" s="1037"/>
      <c r="AM1347" s="1037"/>
      <c r="AN1347" s="1037"/>
      <c r="AO1347" s="1037"/>
      <c r="AP1347" s="1037"/>
    </row>
    <row r="1348" spans="1:42" s="226" customFormat="1">
      <c r="A1348" s="2060"/>
      <c r="B1348" s="1037"/>
      <c r="C1348" s="1037"/>
      <c r="D1348" s="1037"/>
      <c r="E1348" s="1037"/>
      <c r="F1348" s="1037"/>
      <c r="G1348" s="1037"/>
      <c r="H1348" s="1018"/>
      <c r="I1348" s="1037"/>
      <c r="J1348" s="1037"/>
      <c r="K1348" s="1037"/>
      <c r="L1348" s="1037"/>
      <c r="M1348" s="1037"/>
      <c r="N1348" s="1037"/>
      <c r="O1348" s="1037"/>
      <c r="P1348" s="1037"/>
      <c r="Q1348" s="1037"/>
      <c r="R1348" s="1037"/>
      <c r="S1348" s="1037"/>
      <c r="T1348" s="1037"/>
      <c r="U1348" s="1037"/>
      <c r="V1348" s="1037"/>
      <c r="W1348" s="1037"/>
      <c r="X1348" s="1037"/>
      <c r="Y1348" s="1037"/>
      <c r="Z1348" s="1037"/>
      <c r="AA1348" s="1037"/>
      <c r="AB1348" s="1037"/>
      <c r="AC1348" s="1037"/>
      <c r="AD1348" s="1037"/>
      <c r="AE1348" s="1037"/>
      <c r="AF1348" s="1037"/>
      <c r="AG1348" s="1037"/>
      <c r="AH1348" s="1037"/>
      <c r="AI1348" s="1037"/>
      <c r="AJ1348" s="1037"/>
      <c r="AK1348" s="1037"/>
      <c r="AL1348" s="1037"/>
      <c r="AM1348" s="1037"/>
      <c r="AN1348" s="1037"/>
      <c r="AO1348" s="1037"/>
      <c r="AP1348" s="1037"/>
    </row>
    <row r="1349" spans="1:42" s="226" customFormat="1">
      <c r="A1349" s="2060"/>
      <c r="B1349" s="1037"/>
      <c r="C1349" s="1037"/>
      <c r="D1349" s="1037"/>
      <c r="E1349" s="1037"/>
      <c r="F1349" s="1037"/>
      <c r="G1349" s="1037"/>
      <c r="H1349" s="1018"/>
      <c r="I1349" s="1037"/>
      <c r="J1349" s="1037"/>
      <c r="K1349" s="1037"/>
      <c r="L1349" s="1037"/>
      <c r="M1349" s="1037"/>
      <c r="N1349" s="1037"/>
      <c r="O1349" s="1037"/>
      <c r="P1349" s="1037"/>
      <c r="Q1349" s="1037"/>
      <c r="R1349" s="1037"/>
      <c r="S1349" s="1037"/>
      <c r="T1349" s="1037"/>
      <c r="U1349" s="1037"/>
      <c r="V1349" s="1037"/>
      <c r="W1349" s="1037"/>
      <c r="X1349" s="1037"/>
      <c r="Y1349" s="1037"/>
      <c r="Z1349" s="1037"/>
      <c r="AA1349" s="1037"/>
      <c r="AB1349" s="1037"/>
      <c r="AC1349" s="1037"/>
      <c r="AD1349" s="1037"/>
      <c r="AE1349" s="1037"/>
      <c r="AF1349" s="1037"/>
      <c r="AG1349" s="1037"/>
      <c r="AH1349" s="1037"/>
      <c r="AI1349" s="1037"/>
      <c r="AJ1349" s="1037"/>
      <c r="AK1349" s="1037"/>
      <c r="AL1349" s="1037"/>
      <c r="AM1349" s="1037"/>
      <c r="AN1349" s="1037"/>
      <c r="AO1349" s="1037"/>
      <c r="AP1349" s="1037"/>
    </row>
    <row r="1350" spans="1:42" s="226" customFormat="1">
      <c r="A1350" s="2060"/>
      <c r="B1350" s="1037"/>
      <c r="C1350" s="1037"/>
      <c r="D1350" s="1037"/>
      <c r="E1350" s="1037"/>
      <c r="F1350" s="1037"/>
      <c r="G1350" s="1037"/>
      <c r="H1350" s="1018"/>
      <c r="I1350" s="1037"/>
      <c r="J1350" s="1037"/>
      <c r="K1350" s="1037"/>
      <c r="L1350" s="1037"/>
      <c r="M1350" s="1037"/>
      <c r="N1350" s="1037"/>
      <c r="O1350" s="1037"/>
      <c r="P1350" s="1037"/>
      <c r="Q1350" s="1037"/>
      <c r="R1350" s="1037"/>
      <c r="S1350" s="1037"/>
      <c r="T1350" s="1037"/>
      <c r="U1350" s="1037"/>
      <c r="V1350" s="1037"/>
      <c r="W1350" s="1037"/>
      <c r="X1350" s="1037"/>
      <c r="Y1350" s="1037"/>
      <c r="Z1350" s="1037"/>
      <c r="AA1350" s="1037"/>
      <c r="AB1350" s="1037"/>
      <c r="AC1350" s="1037"/>
      <c r="AD1350" s="1037"/>
      <c r="AE1350" s="1037"/>
      <c r="AF1350" s="1037"/>
      <c r="AG1350" s="1037"/>
      <c r="AH1350" s="1037"/>
      <c r="AI1350" s="1037"/>
      <c r="AJ1350" s="1037"/>
      <c r="AK1350" s="1037"/>
      <c r="AL1350" s="1037"/>
      <c r="AM1350" s="1037"/>
      <c r="AN1350" s="1037"/>
      <c r="AO1350" s="1037"/>
      <c r="AP1350" s="1037"/>
    </row>
    <row r="1351" spans="1:42" s="226" customFormat="1">
      <c r="A1351" s="2060"/>
      <c r="B1351" s="1037"/>
      <c r="C1351" s="1037"/>
      <c r="D1351" s="1037"/>
      <c r="E1351" s="1037"/>
      <c r="F1351" s="1037"/>
      <c r="G1351" s="1037"/>
      <c r="H1351" s="1018"/>
      <c r="I1351" s="1037"/>
      <c r="J1351" s="1037"/>
      <c r="K1351" s="1037"/>
      <c r="L1351" s="1037"/>
      <c r="M1351" s="1037"/>
      <c r="N1351" s="1037"/>
      <c r="O1351" s="1037"/>
      <c r="P1351" s="1037"/>
      <c r="Q1351" s="1037"/>
      <c r="R1351" s="1037"/>
      <c r="S1351" s="1037"/>
      <c r="T1351" s="1037"/>
      <c r="U1351" s="1037"/>
      <c r="V1351" s="1037"/>
      <c r="W1351" s="1037"/>
      <c r="X1351" s="1037"/>
      <c r="Y1351" s="1037"/>
      <c r="Z1351" s="1037"/>
      <c r="AA1351" s="1037"/>
      <c r="AB1351" s="1037"/>
      <c r="AC1351" s="1037"/>
      <c r="AD1351" s="1037"/>
      <c r="AE1351" s="1037"/>
      <c r="AF1351" s="1037"/>
      <c r="AG1351" s="1037"/>
      <c r="AH1351" s="1037"/>
      <c r="AI1351" s="1037"/>
      <c r="AJ1351" s="1037"/>
      <c r="AK1351" s="1037"/>
      <c r="AL1351" s="1037"/>
      <c r="AM1351" s="1037"/>
      <c r="AN1351" s="1037"/>
      <c r="AO1351" s="1037"/>
      <c r="AP1351" s="1037"/>
    </row>
    <row r="1352" spans="1:42" s="226" customFormat="1">
      <c r="A1352" s="2060"/>
      <c r="B1352" s="1037"/>
      <c r="C1352" s="1037"/>
      <c r="D1352" s="1037"/>
      <c r="E1352" s="1037"/>
      <c r="F1352" s="1037"/>
      <c r="G1352" s="1037"/>
      <c r="H1352" s="1018"/>
      <c r="I1352" s="1037"/>
      <c r="J1352" s="1037"/>
      <c r="K1352" s="1037"/>
      <c r="L1352" s="1037"/>
      <c r="M1352" s="1037"/>
      <c r="N1352" s="1037"/>
      <c r="O1352" s="1037"/>
      <c r="P1352" s="1037"/>
      <c r="Q1352" s="1037"/>
      <c r="R1352" s="1037"/>
      <c r="S1352" s="1037"/>
      <c r="T1352" s="1037"/>
      <c r="U1352" s="1037"/>
      <c r="V1352" s="1037"/>
      <c r="W1352" s="1037"/>
      <c r="X1352" s="1037"/>
      <c r="Y1352" s="1037"/>
      <c r="Z1352" s="1037"/>
      <c r="AA1352" s="1037"/>
      <c r="AB1352" s="1037"/>
      <c r="AC1352" s="1037"/>
      <c r="AD1352" s="1037"/>
      <c r="AE1352" s="1037"/>
      <c r="AF1352" s="1037"/>
      <c r="AG1352" s="1037"/>
      <c r="AH1352" s="1037"/>
      <c r="AI1352" s="1037"/>
      <c r="AJ1352" s="1037"/>
      <c r="AK1352" s="1037"/>
      <c r="AL1352" s="1037"/>
      <c r="AM1352" s="1037"/>
      <c r="AN1352" s="1037"/>
      <c r="AO1352" s="1037"/>
      <c r="AP1352" s="1037"/>
    </row>
    <row r="1353" spans="1:42" s="226" customFormat="1">
      <c r="A1353" s="2060"/>
      <c r="B1353" s="1037"/>
      <c r="C1353" s="1037"/>
      <c r="D1353" s="1037"/>
      <c r="E1353" s="1037"/>
      <c r="F1353" s="1037"/>
      <c r="G1353" s="1037"/>
      <c r="H1353" s="1018"/>
      <c r="I1353" s="1037"/>
      <c r="J1353" s="1037"/>
      <c r="K1353" s="1037"/>
      <c r="L1353" s="1037"/>
      <c r="M1353" s="1037"/>
      <c r="N1353" s="1037"/>
      <c r="O1353" s="1037"/>
      <c r="P1353" s="1037"/>
      <c r="Q1353" s="1037"/>
      <c r="R1353" s="1037"/>
      <c r="S1353" s="1037"/>
      <c r="T1353" s="1037"/>
      <c r="U1353" s="1037"/>
      <c r="V1353" s="1037"/>
      <c r="W1353" s="1037"/>
      <c r="X1353" s="1037"/>
      <c r="Y1353" s="1037"/>
      <c r="Z1353" s="1037"/>
      <c r="AA1353" s="1037"/>
      <c r="AB1353" s="1037"/>
      <c r="AC1353" s="1037"/>
      <c r="AD1353" s="1037"/>
      <c r="AE1353" s="1037"/>
      <c r="AF1353" s="1037"/>
      <c r="AG1353" s="1037"/>
      <c r="AH1353" s="1037"/>
      <c r="AI1353" s="1037"/>
      <c r="AJ1353" s="1037"/>
      <c r="AK1353" s="1037"/>
      <c r="AL1353" s="1037"/>
      <c r="AM1353" s="1037"/>
      <c r="AN1353" s="1037"/>
      <c r="AO1353" s="1037"/>
      <c r="AP1353" s="1037"/>
    </row>
    <row r="1354" spans="1:42" s="226" customFormat="1">
      <c r="A1354" s="2060"/>
      <c r="B1354" s="1037"/>
      <c r="C1354" s="1037"/>
      <c r="D1354" s="1037"/>
      <c r="E1354" s="1037"/>
      <c r="F1354" s="1037"/>
      <c r="G1354" s="1037"/>
      <c r="H1354" s="1018"/>
      <c r="I1354" s="1037"/>
      <c r="J1354" s="1037"/>
      <c r="K1354" s="1037"/>
      <c r="L1354" s="1037"/>
      <c r="M1354" s="1037"/>
      <c r="N1354" s="1037"/>
      <c r="O1354" s="1037"/>
      <c r="P1354" s="1037"/>
      <c r="Q1354" s="1037"/>
      <c r="R1354" s="1037"/>
      <c r="S1354" s="1037"/>
      <c r="T1354" s="1037"/>
      <c r="U1354" s="1037"/>
      <c r="V1354" s="1037"/>
      <c r="W1354" s="1037"/>
      <c r="X1354" s="1037"/>
      <c r="Y1354" s="1037"/>
      <c r="Z1354" s="1037"/>
      <c r="AA1354" s="1037"/>
      <c r="AB1354" s="1037"/>
      <c r="AC1354" s="1037"/>
      <c r="AD1354" s="1037"/>
      <c r="AE1354" s="1037"/>
      <c r="AF1354" s="1037"/>
      <c r="AG1354" s="1037"/>
      <c r="AH1354" s="1037"/>
      <c r="AI1354" s="1037"/>
      <c r="AJ1354" s="1037"/>
      <c r="AK1354" s="1037"/>
      <c r="AL1354" s="1037"/>
      <c r="AM1354" s="1037"/>
      <c r="AN1354" s="1037"/>
      <c r="AO1354" s="1037"/>
      <c r="AP1354" s="1037"/>
    </row>
    <row r="1355" spans="1:42" s="226" customFormat="1">
      <c r="A1355" s="2060"/>
      <c r="B1355" s="1037"/>
      <c r="C1355" s="1037"/>
      <c r="D1355" s="1037"/>
      <c r="E1355" s="1037"/>
      <c r="F1355" s="1037"/>
      <c r="G1355" s="1037"/>
      <c r="H1355" s="1018"/>
      <c r="I1355" s="1037"/>
      <c r="J1355" s="1037"/>
      <c r="K1355" s="1037"/>
      <c r="L1355" s="1037"/>
      <c r="M1355" s="1037"/>
      <c r="N1355" s="1037"/>
      <c r="O1355" s="1037"/>
      <c r="P1355" s="1037"/>
      <c r="Q1355" s="1037"/>
      <c r="R1355" s="1037"/>
      <c r="S1355" s="1037"/>
      <c r="T1355" s="1037"/>
      <c r="U1355" s="1037"/>
      <c r="V1355" s="1037"/>
      <c r="W1355" s="1037"/>
      <c r="X1355" s="1037"/>
      <c r="Y1355" s="1037"/>
      <c r="Z1355" s="1037"/>
      <c r="AA1355" s="1037"/>
      <c r="AB1355" s="1037"/>
      <c r="AC1355" s="1037"/>
      <c r="AD1355" s="1037"/>
      <c r="AE1355" s="1037"/>
      <c r="AF1355" s="1037"/>
      <c r="AG1355" s="1037"/>
      <c r="AH1355" s="1037"/>
      <c r="AI1355" s="1037"/>
      <c r="AJ1355" s="1037"/>
      <c r="AK1355" s="1037"/>
      <c r="AL1355" s="1037"/>
      <c r="AM1355" s="1037"/>
      <c r="AN1355" s="1037"/>
      <c r="AO1355" s="1037"/>
      <c r="AP1355" s="1037"/>
    </row>
    <row r="1356" spans="1:42" s="226" customFormat="1">
      <c r="A1356" s="2060"/>
      <c r="B1356" s="1037"/>
      <c r="C1356" s="1037"/>
      <c r="D1356" s="1037"/>
      <c r="E1356" s="1037"/>
      <c r="F1356" s="1037"/>
      <c r="G1356" s="1037"/>
      <c r="H1356" s="1018"/>
      <c r="I1356" s="1037"/>
      <c r="J1356" s="1037"/>
      <c r="K1356" s="1037"/>
      <c r="L1356" s="1037"/>
      <c r="M1356" s="1037"/>
      <c r="N1356" s="1037"/>
      <c r="O1356" s="1037"/>
      <c r="P1356" s="1037"/>
      <c r="Q1356" s="1037"/>
      <c r="R1356" s="1037"/>
      <c r="S1356" s="1037"/>
      <c r="T1356" s="1037"/>
      <c r="U1356" s="1037"/>
      <c r="V1356" s="1037"/>
      <c r="W1356" s="1037"/>
      <c r="X1356" s="1037"/>
      <c r="Y1356" s="1037"/>
      <c r="Z1356" s="1037"/>
      <c r="AA1356" s="1037"/>
      <c r="AB1356" s="1037"/>
      <c r="AC1356" s="1037"/>
      <c r="AD1356" s="1037"/>
      <c r="AE1356" s="1037"/>
      <c r="AF1356" s="1037"/>
      <c r="AG1356" s="1037"/>
      <c r="AH1356" s="1037"/>
      <c r="AI1356" s="1037"/>
      <c r="AJ1356" s="1037"/>
      <c r="AK1356" s="1037"/>
      <c r="AL1356" s="1037"/>
      <c r="AM1356" s="1037"/>
      <c r="AN1356" s="1037"/>
      <c r="AO1356" s="1037"/>
      <c r="AP1356" s="1037"/>
    </row>
    <row r="1357" spans="1:42" s="226" customFormat="1">
      <c r="A1357" s="2060"/>
      <c r="B1357" s="1037"/>
      <c r="C1357" s="1037"/>
      <c r="D1357" s="1037"/>
      <c r="E1357" s="1037"/>
      <c r="F1357" s="1037"/>
      <c r="G1357" s="1037"/>
      <c r="H1357" s="1018"/>
      <c r="I1357" s="1037"/>
      <c r="J1357" s="1037"/>
      <c r="K1357" s="1037"/>
      <c r="L1357" s="1037"/>
      <c r="M1357" s="1037"/>
      <c r="N1357" s="1037"/>
      <c r="O1357" s="1037"/>
      <c r="P1357" s="1037"/>
      <c r="Q1357" s="1037"/>
      <c r="R1357" s="1037"/>
      <c r="S1357" s="1037"/>
      <c r="T1357" s="1037"/>
      <c r="U1357" s="1037"/>
      <c r="V1357" s="1037"/>
      <c r="W1357" s="1037"/>
      <c r="X1357" s="1037"/>
      <c r="Y1357" s="1037"/>
      <c r="Z1357" s="1037"/>
      <c r="AA1357" s="1037"/>
      <c r="AB1357" s="1037"/>
      <c r="AC1357" s="1037"/>
      <c r="AD1357" s="1037"/>
      <c r="AE1357" s="1037"/>
      <c r="AF1357" s="1037"/>
      <c r="AG1357" s="1037"/>
      <c r="AH1357" s="1037"/>
      <c r="AI1357" s="1037"/>
      <c r="AJ1357" s="1037"/>
      <c r="AK1357" s="1037"/>
      <c r="AL1357" s="1037"/>
      <c r="AM1357" s="1037"/>
      <c r="AN1357" s="1037"/>
      <c r="AO1357" s="1037"/>
      <c r="AP1357" s="1037"/>
    </row>
    <row r="1358" spans="1:42" s="226" customFormat="1">
      <c r="A1358" s="2060"/>
      <c r="B1358" s="1037"/>
      <c r="C1358" s="1037"/>
      <c r="D1358" s="1037"/>
      <c r="E1358" s="1037"/>
      <c r="F1358" s="1037"/>
      <c r="G1358" s="1037"/>
      <c r="H1358" s="1018"/>
      <c r="I1358" s="1037"/>
      <c r="J1358" s="1037"/>
      <c r="K1358" s="1037"/>
      <c r="L1358" s="1037"/>
      <c r="M1358" s="1037"/>
      <c r="N1358" s="1037"/>
      <c r="O1358" s="1037"/>
      <c r="P1358" s="1037"/>
      <c r="Q1358" s="1037"/>
      <c r="R1358" s="1037"/>
      <c r="S1358" s="1037"/>
      <c r="T1358" s="1037"/>
      <c r="U1358" s="1037"/>
      <c r="V1358" s="1037"/>
      <c r="W1358" s="1037"/>
      <c r="X1358" s="1037"/>
      <c r="Y1358" s="1037"/>
      <c r="Z1358" s="1037"/>
      <c r="AA1358" s="1037"/>
      <c r="AB1358" s="1037"/>
      <c r="AC1358" s="1037"/>
      <c r="AD1358" s="1037"/>
      <c r="AE1358" s="1037"/>
      <c r="AF1358" s="1037"/>
      <c r="AG1358" s="1037"/>
      <c r="AH1358" s="1037"/>
      <c r="AI1358" s="1037"/>
      <c r="AJ1358" s="1037"/>
      <c r="AK1358" s="1037"/>
      <c r="AL1358" s="1037"/>
      <c r="AM1358" s="1037"/>
      <c r="AN1358" s="1037"/>
      <c r="AO1358" s="1037"/>
      <c r="AP1358" s="1037"/>
    </row>
    <row r="1359" spans="1:42" s="226" customFormat="1">
      <c r="A1359" s="2060"/>
      <c r="B1359" s="1037"/>
      <c r="C1359" s="1037"/>
      <c r="D1359" s="1037"/>
      <c r="E1359" s="1037"/>
      <c r="F1359" s="1037"/>
      <c r="G1359" s="1037"/>
      <c r="H1359" s="1018"/>
      <c r="I1359" s="1037"/>
      <c r="J1359" s="1037"/>
      <c r="K1359" s="1037"/>
      <c r="L1359" s="1037"/>
      <c r="M1359" s="1037"/>
      <c r="N1359" s="1037"/>
      <c r="O1359" s="1037"/>
      <c r="P1359" s="1037"/>
      <c r="Q1359" s="1037"/>
      <c r="R1359" s="1037"/>
      <c r="S1359" s="1037"/>
      <c r="T1359" s="1037"/>
      <c r="U1359" s="1037"/>
      <c r="V1359" s="1037"/>
      <c r="W1359" s="1037"/>
      <c r="X1359" s="1037"/>
      <c r="Y1359" s="1037"/>
      <c r="Z1359" s="1037"/>
      <c r="AA1359" s="1037"/>
      <c r="AB1359" s="1037"/>
      <c r="AC1359" s="1037"/>
      <c r="AD1359" s="1037"/>
      <c r="AE1359" s="1037"/>
      <c r="AF1359" s="1037"/>
      <c r="AG1359" s="1037"/>
      <c r="AH1359" s="1037"/>
      <c r="AI1359" s="1037"/>
      <c r="AJ1359" s="1037"/>
      <c r="AK1359" s="1037"/>
      <c r="AL1359" s="1037"/>
      <c r="AM1359" s="1037"/>
      <c r="AN1359" s="1037"/>
      <c r="AO1359" s="1037"/>
      <c r="AP1359" s="1037"/>
    </row>
    <row r="1360" spans="1:42" s="226" customFormat="1">
      <c r="A1360" s="2060"/>
      <c r="B1360" s="1037"/>
      <c r="C1360" s="1037"/>
      <c r="D1360" s="1037"/>
      <c r="E1360" s="1037"/>
      <c r="F1360" s="1037"/>
      <c r="G1360" s="1037"/>
      <c r="H1360" s="1018"/>
      <c r="I1360" s="1037"/>
      <c r="J1360" s="1037"/>
      <c r="K1360" s="1037"/>
      <c r="L1360" s="1037"/>
      <c r="M1360" s="1037"/>
      <c r="N1360" s="1037"/>
      <c r="O1360" s="1037"/>
      <c r="P1360" s="1037"/>
      <c r="Q1360" s="1037"/>
      <c r="R1360" s="1037"/>
      <c r="S1360" s="1037"/>
      <c r="T1360" s="1037"/>
      <c r="U1360" s="1037"/>
      <c r="V1360" s="1037"/>
      <c r="W1360" s="1037"/>
      <c r="X1360" s="1037"/>
      <c r="Y1360" s="1037"/>
      <c r="Z1360" s="1037"/>
      <c r="AA1360" s="1037"/>
      <c r="AB1360" s="1037"/>
      <c r="AC1360" s="1037"/>
      <c r="AD1360" s="1037"/>
      <c r="AE1360" s="1037"/>
      <c r="AF1360" s="1037"/>
      <c r="AG1360" s="1037"/>
      <c r="AH1360" s="1037"/>
      <c r="AI1360" s="1037"/>
      <c r="AJ1360" s="1037"/>
      <c r="AK1360" s="1037"/>
      <c r="AL1360" s="1037"/>
      <c r="AM1360" s="1037"/>
      <c r="AN1360" s="1037"/>
      <c r="AO1360" s="1037"/>
      <c r="AP1360" s="1037"/>
    </row>
    <row r="1361" spans="1:42" s="226" customFormat="1">
      <c r="A1361" s="2060"/>
      <c r="B1361" s="1037"/>
      <c r="C1361" s="1037"/>
      <c r="D1361" s="1037"/>
      <c r="E1361" s="1037"/>
      <c r="F1361" s="1037"/>
      <c r="G1361" s="1037"/>
      <c r="H1361" s="1018"/>
      <c r="I1361" s="1037"/>
      <c r="J1361" s="1037"/>
      <c r="K1361" s="1037"/>
      <c r="L1361" s="1037"/>
      <c r="M1361" s="1037"/>
      <c r="N1361" s="1037"/>
      <c r="O1361" s="1037"/>
      <c r="P1361" s="1037"/>
      <c r="Q1361" s="1037"/>
      <c r="R1361" s="1037"/>
      <c r="S1361" s="1037"/>
      <c r="T1361" s="1037"/>
      <c r="U1361" s="1037"/>
      <c r="V1361" s="1037"/>
      <c r="W1361" s="1037"/>
      <c r="X1361" s="1037"/>
      <c r="Y1361" s="1037"/>
      <c r="Z1361" s="1037"/>
      <c r="AA1361" s="1037"/>
      <c r="AB1361" s="1037"/>
      <c r="AC1361" s="1037"/>
      <c r="AD1361" s="1037"/>
      <c r="AE1361" s="1037"/>
      <c r="AF1361" s="1037"/>
      <c r="AG1361" s="1037"/>
      <c r="AH1361" s="1037"/>
      <c r="AI1361" s="1037"/>
      <c r="AJ1361" s="1037"/>
      <c r="AK1361" s="1037"/>
      <c r="AL1361" s="1037"/>
      <c r="AM1361" s="1037"/>
      <c r="AN1361" s="1037"/>
      <c r="AO1361" s="1037"/>
      <c r="AP1361" s="1037"/>
    </row>
    <row r="1362" spans="1:42" s="226" customFormat="1">
      <c r="A1362" s="2060"/>
      <c r="B1362" s="1037"/>
      <c r="C1362" s="1037"/>
      <c r="D1362" s="1037"/>
      <c r="E1362" s="1037"/>
      <c r="F1362" s="1037"/>
      <c r="G1362" s="1037"/>
      <c r="H1362" s="1018"/>
      <c r="I1362" s="1037"/>
      <c r="J1362" s="1037"/>
      <c r="K1362" s="1037"/>
      <c r="L1362" s="1037"/>
      <c r="M1362" s="1037"/>
      <c r="N1362" s="1037"/>
      <c r="O1362" s="1037"/>
      <c r="P1362" s="1037"/>
      <c r="Q1362" s="1037"/>
      <c r="R1362" s="1037"/>
      <c r="S1362" s="1037"/>
      <c r="T1362" s="1037"/>
      <c r="U1362" s="1037"/>
      <c r="V1362" s="1037"/>
      <c r="W1362" s="1037"/>
      <c r="X1362" s="1037"/>
      <c r="Y1362" s="1037"/>
      <c r="Z1362" s="1037"/>
      <c r="AA1362" s="1037"/>
      <c r="AB1362" s="1037"/>
      <c r="AC1362" s="1037"/>
      <c r="AD1362" s="1037"/>
      <c r="AE1362" s="1037"/>
      <c r="AF1362" s="1037"/>
      <c r="AG1362" s="1037"/>
      <c r="AH1362" s="1037"/>
      <c r="AI1362" s="1037"/>
      <c r="AJ1362" s="1037"/>
      <c r="AK1362" s="1037"/>
      <c r="AL1362" s="1037"/>
      <c r="AM1362" s="1037"/>
      <c r="AN1362" s="1037"/>
      <c r="AO1362" s="1037"/>
      <c r="AP1362" s="1037"/>
    </row>
    <row r="1363" spans="1:42" s="226" customFormat="1">
      <c r="A1363" s="2060"/>
      <c r="B1363" s="1037"/>
      <c r="C1363" s="1037"/>
      <c r="D1363" s="1037"/>
      <c r="E1363" s="1037"/>
      <c r="F1363" s="1037"/>
      <c r="G1363" s="1037"/>
      <c r="H1363" s="1018"/>
      <c r="I1363" s="1037"/>
      <c r="J1363" s="1037"/>
      <c r="K1363" s="1037"/>
      <c r="L1363" s="1037"/>
      <c r="M1363" s="1037"/>
      <c r="N1363" s="1037"/>
      <c r="O1363" s="1037"/>
      <c r="P1363" s="1037"/>
      <c r="Q1363" s="1037"/>
      <c r="R1363" s="1037"/>
      <c r="S1363" s="1037"/>
      <c r="T1363" s="1037"/>
      <c r="U1363" s="1037"/>
      <c r="V1363" s="1037"/>
      <c r="W1363" s="1037"/>
      <c r="X1363" s="1037"/>
      <c r="Y1363" s="1037"/>
      <c r="Z1363" s="1037"/>
      <c r="AA1363" s="1037"/>
      <c r="AB1363" s="1037"/>
      <c r="AC1363" s="1037"/>
      <c r="AD1363" s="1037"/>
      <c r="AE1363" s="1037"/>
      <c r="AF1363" s="1037"/>
      <c r="AG1363" s="1037"/>
      <c r="AH1363" s="1037"/>
      <c r="AI1363" s="1037"/>
      <c r="AJ1363" s="1037"/>
      <c r="AK1363" s="1037"/>
      <c r="AL1363" s="1037"/>
      <c r="AM1363" s="1037"/>
      <c r="AN1363" s="1037"/>
      <c r="AO1363" s="1037"/>
      <c r="AP1363" s="1037"/>
    </row>
    <row r="1364" spans="1:42" s="226" customFormat="1">
      <c r="A1364" s="2060"/>
      <c r="B1364" s="1037"/>
      <c r="C1364" s="1037"/>
      <c r="D1364" s="1037"/>
      <c r="E1364" s="1037"/>
      <c r="F1364" s="1037"/>
      <c r="G1364" s="1037"/>
      <c r="H1364" s="1018"/>
      <c r="I1364" s="1037"/>
      <c r="J1364" s="1037"/>
      <c r="K1364" s="1037"/>
      <c r="L1364" s="1037"/>
      <c r="M1364" s="1037"/>
      <c r="N1364" s="1037"/>
      <c r="O1364" s="1037"/>
      <c r="P1364" s="1037"/>
      <c r="Q1364" s="1037"/>
      <c r="R1364" s="1037"/>
      <c r="S1364" s="1037"/>
      <c r="T1364" s="1037"/>
      <c r="U1364" s="1037"/>
      <c r="V1364" s="1037"/>
      <c r="W1364" s="1037"/>
      <c r="X1364" s="1037"/>
      <c r="Y1364" s="1037"/>
      <c r="Z1364" s="1037"/>
      <c r="AA1364" s="1037"/>
      <c r="AB1364" s="1037"/>
      <c r="AC1364" s="1037"/>
      <c r="AD1364" s="1037"/>
      <c r="AE1364" s="1037"/>
      <c r="AF1364" s="1037"/>
      <c r="AG1364" s="1037"/>
      <c r="AH1364" s="1037"/>
      <c r="AI1364" s="1037"/>
      <c r="AJ1364" s="1037"/>
      <c r="AK1364" s="1037"/>
      <c r="AL1364" s="1037"/>
      <c r="AM1364" s="1037"/>
      <c r="AN1364" s="1037"/>
      <c r="AO1364" s="1037"/>
      <c r="AP1364" s="1037"/>
    </row>
    <row r="1365" spans="1:42" s="226" customFormat="1">
      <c r="A1365" s="2060"/>
      <c r="B1365" s="1037"/>
      <c r="C1365" s="1037"/>
      <c r="D1365" s="1037"/>
      <c r="E1365" s="1037"/>
      <c r="F1365" s="1037"/>
      <c r="G1365" s="1037"/>
      <c r="H1365" s="1018"/>
      <c r="I1365" s="1037"/>
      <c r="J1365" s="1037"/>
      <c r="K1365" s="1037"/>
      <c r="L1365" s="1037"/>
      <c r="M1365" s="1037"/>
      <c r="N1365" s="1037"/>
      <c r="O1365" s="1037"/>
      <c r="P1365" s="1037"/>
      <c r="Q1365" s="1037"/>
      <c r="R1365" s="1037"/>
      <c r="S1365" s="1037"/>
      <c r="T1365" s="1037"/>
      <c r="U1365" s="1037"/>
      <c r="V1365" s="1037"/>
      <c r="W1365" s="1037"/>
      <c r="X1365" s="1037"/>
      <c r="Y1365" s="1037"/>
      <c r="Z1365" s="1037"/>
      <c r="AA1365" s="1037"/>
      <c r="AB1365" s="1037"/>
      <c r="AC1365" s="1037"/>
      <c r="AD1365" s="1037"/>
      <c r="AE1365" s="1037"/>
      <c r="AF1365" s="1037"/>
      <c r="AG1365" s="1037"/>
      <c r="AH1365" s="1037"/>
      <c r="AI1365" s="1037"/>
      <c r="AJ1365" s="1037"/>
      <c r="AK1365" s="1037"/>
      <c r="AL1365" s="1037"/>
      <c r="AM1365" s="1037"/>
      <c r="AN1365" s="1037"/>
      <c r="AO1365" s="1037"/>
      <c r="AP1365" s="1037"/>
    </row>
    <row r="1366" spans="1:42" s="226" customFormat="1">
      <c r="A1366" s="2060"/>
      <c r="B1366" s="1037"/>
      <c r="C1366" s="1037"/>
      <c r="D1366" s="1037"/>
      <c r="E1366" s="1037"/>
      <c r="F1366" s="1037"/>
      <c r="G1366" s="1037"/>
      <c r="H1366" s="1018"/>
      <c r="I1366" s="1037"/>
      <c r="J1366" s="1037"/>
      <c r="K1366" s="1037"/>
      <c r="L1366" s="1037"/>
      <c r="M1366" s="1037"/>
      <c r="N1366" s="1037"/>
      <c r="O1366" s="1037"/>
      <c r="P1366" s="1037"/>
      <c r="Q1366" s="1037"/>
      <c r="R1366" s="1037"/>
      <c r="S1366" s="1037"/>
      <c r="T1366" s="1037"/>
      <c r="U1366" s="1037"/>
      <c r="V1366" s="1037"/>
      <c r="W1366" s="1037"/>
      <c r="X1366" s="1037"/>
      <c r="Y1366" s="1037"/>
      <c r="Z1366" s="1037"/>
      <c r="AA1366" s="1037"/>
      <c r="AB1366" s="1037"/>
      <c r="AC1366" s="1037"/>
      <c r="AD1366" s="1037"/>
      <c r="AE1366" s="1037"/>
      <c r="AF1366" s="1037"/>
      <c r="AG1366" s="1037"/>
      <c r="AH1366" s="1037"/>
      <c r="AI1366" s="1037"/>
      <c r="AJ1366" s="1037"/>
      <c r="AK1366" s="1037"/>
      <c r="AL1366" s="1037"/>
      <c r="AM1366" s="1037"/>
      <c r="AN1366" s="1037"/>
      <c r="AO1366" s="1037"/>
      <c r="AP1366" s="1037"/>
    </row>
    <row r="1367" spans="1:42" s="226" customFormat="1">
      <c r="A1367" s="2060"/>
      <c r="B1367" s="1037"/>
      <c r="C1367" s="1037"/>
      <c r="D1367" s="1037"/>
      <c r="E1367" s="1037"/>
      <c r="F1367" s="1037"/>
      <c r="G1367" s="1037"/>
      <c r="H1367" s="1018"/>
      <c r="I1367" s="1037"/>
      <c r="J1367" s="1037"/>
      <c r="K1367" s="1037"/>
      <c r="L1367" s="1037"/>
      <c r="M1367" s="1037"/>
      <c r="N1367" s="1037"/>
      <c r="O1367" s="1037"/>
      <c r="P1367" s="1037"/>
      <c r="Q1367" s="1037"/>
      <c r="R1367" s="1037"/>
      <c r="S1367" s="1037"/>
      <c r="T1367" s="1037"/>
      <c r="U1367" s="1037"/>
      <c r="V1367" s="1037"/>
      <c r="W1367" s="1037"/>
      <c r="X1367" s="1037"/>
      <c r="Y1367" s="1037"/>
      <c r="Z1367" s="1037"/>
      <c r="AA1367" s="1037"/>
      <c r="AB1367" s="1037"/>
      <c r="AC1367" s="1037"/>
      <c r="AD1367" s="1037"/>
      <c r="AE1367" s="1037"/>
      <c r="AF1367" s="1037"/>
      <c r="AG1367" s="1037"/>
      <c r="AH1367" s="1037"/>
      <c r="AI1367" s="1037"/>
      <c r="AJ1367" s="1037"/>
      <c r="AK1367" s="1037"/>
      <c r="AL1367" s="1037"/>
      <c r="AM1367" s="1037"/>
      <c r="AN1367" s="1037"/>
      <c r="AO1367" s="1037"/>
      <c r="AP1367" s="1037"/>
    </row>
    <row r="1368" spans="1:42" s="226" customFormat="1">
      <c r="A1368" s="2060"/>
      <c r="B1368" s="1037"/>
      <c r="C1368" s="1037"/>
      <c r="D1368" s="1037"/>
      <c r="E1368" s="1037"/>
      <c r="F1368" s="1037"/>
      <c r="G1368" s="1037"/>
      <c r="H1368" s="1018"/>
      <c r="I1368" s="1037"/>
      <c r="J1368" s="1037"/>
      <c r="K1368" s="1037"/>
      <c r="L1368" s="1037"/>
      <c r="M1368" s="1037"/>
      <c r="N1368" s="1037"/>
      <c r="O1368" s="1037"/>
      <c r="P1368" s="1037"/>
      <c r="Q1368" s="1037"/>
      <c r="R1368" s="1037"/>
      <c r="S1368" s="1037"/>
      <c r="T1368" s="1037"/>
      <c r="U1368" s="1037"/>
      <c r="V1368" s="1037"/>
      <c r="W1368" s="1037"/>
      <c r="X1368" s="1037"/>
      <c r="Y1368" s="1037"/>
      <c r="Z1368" s="1037"/>
      <c r="AA1368" s="1037"/>
      <c r="AB1368" s="1037"/>
      <c r="AC1368" s="1037"/>
      <c r="AD1368" s="1037"/>
      <c r="AE1368" s="1037"/>
      <c r="AF1368" s="1037"/>
      <c r="AG1368" s="1037"/>
      <c r="AH1368" s="1037"/>
      <c r="AI1368" s="1037"/>
      <c r="AJ1368" s="1037"/>
      <c r="AK1368" s="1037"/>
      <c r="AL1368" s="1037"/>
      <c r="AM1368" s="1037"/>
      <c r="AN1368" s="1037"/>
      <c r="AO1368" s="1037"/>
      <c r="AP1368" s="1037"/>
    </row>
    <row r="1369" spans="1:42" s="226" customFormat="1">
      <c r="A1369" s="2060"/>
      <c r="B1369" s="1037"/>
      <c r="C1369" s="1037"/>
      <c r="D1369" s="1037"/>
      <c r="E1369" s="1037"/>
      <c r="F1369" s="1037"/>
      <c r="G1369" s="1037"/>
      <c r="H1369" s="1018"/>
      <c r="I1369" s="1037"/>
      <c r="J1369" s="1037"/>
      <c r="K1369" s="1037"/>
      <c r="L1369" s="1037"/>
      <c r="M1369" s="1037"/>
      <c r="N1369" s="1037"/>
      <c r="O1369" s="1037"/>
      <c r="P1369" s="1037"/>
      <c r="Q1369" s="1037"/>
      <c r="R1369" s="1037"/>
      <c r="S1369" s="1037"/>
      <c r="T1369" s="1037"/>
      <c r="U1369" s="1037"/>
      <c r="V1369" s="1037"/>
      <c r="W1369" s="1037"/>
      <c r="X1369" s="1037"/>
      <c r="Y1369" s="1037"/>
      <c r="Z1369" s="1037"/>
      <c r="AA1369" s="1037"/>
      <c r="AB1369" s="1037"/>
      <c r="AC1369" s="1037"/>
      <c r="AD1369" s="1037"/>
      <c r="AE1369" s="1037"/>
      <c r="AF1369" s="1037"/>
      <c r="AG1369" s="1037"/>
      <c r="AH1369" s="1037"/>
      <c r="AI1369" s="1037"/>
      <c r="AJ1369" s="1037"/>
      <c r="AK1369" s="1037"/>
      <c r="AL1369" s="1037"/>
      <c r="AM1369" s="1037"/>
      <c r="AN1369" s="1037"/>
      <c r="AO1369" s="1037"/>
      <c r="AP1369" s="1037"/>
    </row>
    <row r="1370" spans="1:42" s="226" customFormat="1">
      <c r="A1370" s="2060"/>
      <c r="B1370" s="1037"/>
      <c r="C1370" s="1037"/>
      <c r="D1370" s="1037"/>
      <c r="E1370" s="1037"/>
      <c r="F1370" s="1037"/>
      <c r="G1370" s="1037"/>
      <c r="H1370" s="1018"/>
      <c r="I1370" s="1037"/>
      <c r="J1370" s="1037"/>
      <c r="K1370" s="1037"/>
      <c r="L1370" s="1037"/>
      <c r="M1370" s="1037"/>
      <c r="N1370" s="1037"/>
      <c r="O1370" s="1037"/>
      <c r="P1370" s="1037"/>
      <c r="Q1370" s="1037"/>
      <c r="R1370" s="1037"/>
      <c r="S1370" s="1037"/>
      <c r="T1370" s="1037"/>
      <c r="U1370" s="1037"/>
      <c r="V1370" s="1037"/>
      <c r="W1370" s="1037"/>
      <c r="X1370" s="1037"/>
      <c r="Y1370" s="1037"/>
      <c r="Z1370" s="1037"/>
      <c r="AA1370" s="1037"/>
      <c r="AB1370" s="1037"/>
      <c r="AC1370" s="1037"/>
      <c r="AD1370" s="1037"/>
      <c r="AE1370" s="1037"/>
      <c r="AF1370" s="1037"/>
      <c r="AG1370" s="1037"/>
      <c r="AH1370" s="1037"/>
      <c r="AI1370" s="1037"/>
      <c r="AJ1370" s="1037"/>
      <c r="AK1370" s="1037"/>
      <c r="AL1370" s="1037"/>
      <c r="AM1370" s="1037"/>
      <c r="AN1370" s="1037"/>
      <c r="AO1370" s="1037"/>
      <c r="AP1370" s="1037"/>
    </row>
    <row r="1371" spans="1:42" s="226" customFormat="1">
      <c r="A1371" s="2060"/>
      <c r="B1371" s="1037"/>
      <c r="C1371" s="1037"/>
      <c r="D1371" s="1037"/>
      <c r="E1371" s="1037"/>
      <c r="F1371" s="1037"/>
      <c r="G1371" s="1037"/>
      <c r="H1371" s="1018"/>
      <c r="I1371" s="1037"/>
      <c r="J1371" s="1037"/>
      <c r="K1371" s="1037"/>
      <c r="L1371" s="1037"/>
      <c r="M1371" s="1037"/>
      <c r="N1371" s="1037"/>
      <c r="O1371" s="1037"/>
      <c r="P1371" s="1037"/>
      <c r="Q1371" s="1037"/>
      <c r="R1371" s="1037"/>
      <c r="S1371" s="1037"/>
      <c r="T1371" s="1037"/>
      <c r="U1371" s="1037"/>
      <c r="V1371" s="1037"/>
      <c r="W1371" s="1037"/>
      <c r="X1371" s="1037"/>
      <c r="Y1371" s="1037"/>
      <c r="Z1371" s="1037"/>
      <c r="AA1371" s="1037"/>
      <c r="AB1371" s="1037"/>
      <c r="AC1371" s="1037"/>
      <c r="AD1371" s="1037"/>
      <c r="AE1371" s="1037"/>
      <c r="AF1371" s="1037"/>
      <c r="AG1371" s="1037"/>
      <c r="AH1371" s="1037"/>
      <c r="AI1371" s="1037"/>
      <c r="AJ1371" s="1037"/>
      <c r="AK1371" s="1037"/>
      <c r="AL1371" s="1037"/>
      <c r="AM1371" s="1037"/>
      <c r="AN1371" s="1037"/>
      <c r="AO1371" s="1037"/>
      <c r="AP1371" s="1037"/>
    </row>
    <row r="1372" spans="1:42" s="226" customFormat="1">
      <c r="A1372" s="2060"/>
      <c r="B1372" s="1037"/>
      <c r="C1372" s="1037"/>
      <c r="D1372" s="1037"/>
      <c r="E1372" s="1037"/>
      <c r="F1372" s="1037"/>
      <c r="G1372" s="1037"/>
      <c r="H1372" s="1018"/>
      <c r="I1372" s="1037"/>
      <c r="J1372" s="1037"/>
      <c r="K1372" s="1037"/>
      <c r="L1372" s="1037"/>
      <c r="M1372" s="1037"/>
      <c r="N1372" s="1037"/>
      <c r="O1372" s="1037"/>
      <c r="P1372" s="1037"/>
      <c r="Q1372" s="1037"/>
      <c r="R1372" s="1037"/>
      <c r="S1372" s="1037"/>
      <c r="T1372" s="1037"/>
      <c r="U1372" s="1037"/>
      <c r="V1372" s="1037"/>
      <c r="W1372" s="1037"/>
      <c r="X1372" s="1037"/>
      <c r="Y1372" s="1037"/>
      <c r="Z1372" s="1037"/>
      <c r="AA1372" s="1037"/>
      <c r="AB1372" s="1037"/>
      <c r="AC1372" s="1037"/>
      <c r="AD1372" s="1037"/>
      <c r="AE1372" s="1037"/>
      <c r="AF1372" s="1037"/>
      <c r="AG1372" s="1037"/>
      <c r="AH1372" s="1037"/>
      <c r="AI1372" s="1037"/>
      <c r="AJ1372" s="1037"/>
      <c r="AK1372" s="1037"/>
      <c r="AL1372" s="1037"/>
      <c r="AM1372" s="1037"/>
      <c r="AN1372" s="1037"/>
      <c r="AO1372" s="1037"/>
      <c r="AP1372" s="1037"/>
    </row>
    <row r="1373" spans="1:42" s="226" customFormat="1">
      <c r="A1373" s="2060"/>
      <c r="B1373" s="1037"/>
      <c r="C1373" s="1037"/>
      <c r="D1373" s="1037"/>
      <c r="E1373" s="1037"/>
      <c r="F1373" s="1037"/>
      <c r="G1373" s="1037"/>
      <c r="H1373" s="1018"/>
      <c r="I1373" s="1037"/>
      <c r="J1373" s="1037"/>
      <c r="K1373" s="1037"/>
      <c r="L1373" s="1037"/>
      <c r="M1373" s="1037"/>
      <c r="N1373" s="1037"/>
      <c r="O1373" s="1037"/>
      <c r="P1373" s="1037"/>
      <c r="Q1373" s="1037"/>
      <c r="R1373" s="1037"/>
      <c r="S1373" s="1037"/>
      <c r="T1373" s="1037"/>
      <c r="U1373" s="1037"/>
      <c r="V1373" s="1037"/>
      <c r="W1373" s="1037"/>
      <c r="X1373" s="1037"/>
      <c r="Y1373" s="1037"/>
      <c r="Z1373" s="1037"/>
      <c r="AA1373" s="1037"/>
      <c r="AB1373" s="1037"/>
      <c r="AC1373" s="1037"/>
      <c r="AD1373" s="1037"/>
      <c r="AE1373" s="1037"/>
      <c r="AF1373" s="1037"/>
      <c r="AG1373" s="1037"/>
      <c r="AH1373" s="1037"/>
      <c r="AI1373" s="1037"/>
      <c r="AJ1373" s="1037"/>
      <c r="AK1373" s="1037"/>
      <c r="AL1373" s="1037"/>
      <c r="AM1373" s="1037"/>
      <c r="AN1373" s="1037"/>
      <c r="AO1373" s="1037"/>
      <c r="AP1373" s="1037"/>
    </row>
    <row r="1374" spans="1:42" s="226" customFormat="1">
      <c r="A1374" s="2060"/>
      <c r="B1374" s="1037"/>
      <c r="C1374" s="1037"/>
      <c r="D1374" s="1037"/>
      <c r="E1374" s="1037"/>
      <c r="F1374" s="1037"/>
      <c r="G1374" s="1037"/>
      <c r="H1374" s="1018"/>
      <c r="I1374" s="1037"/>
      <c r="J1374" s="1037"/>
      <c r="K1374" s="1037"/>
      <c r="L1374" s="1037"/>
      <c r="M1374" s="1037"/>
      <c r="N1374" s="1037"/>
      <c r="O1374" s="1037"/>
      <c r="P1374" s="1037"/>
      <c r="Q1374" s="1037"/>
      <c r="R1374" s="1037"/>
      <c r="S1374" s="1037"/>
      <c r="T1374" s="1037"/>
      <c r="U1374" s="1037"/>
      <c r="V1374" s="1037"/>
      <c r="W1374" s="1037"/>
      <c r="X1374" s="1037"/>
      <c r="Y1374" s="1037"/>
      <c r="Z1374" s="1037"/>
      <c r="AA1374" s="1037"/>
      <c r="AB1374" s="1037"/>
      <c r="AC1374" s="1037"/>
      <c r="AD1374" s="1037"/>
      <c r="AE1374" s="1037"/>
      <c r="AF1374" s="1037"/>
      <c r="AG1374" s="1037"/>
      <c r="AH1374" s="1037"/>
      <c r="AI1374" s="1037"/>
      <c r="AJ1374" s="1037"/>
      <c r="AK1374" s="1037"/>
      <c r="AL1374" s="1037"/>
      <c r="AM1374" s="1037"/>
      <c r="AN1374" s="1037"/>
      <c r="AO1374" s="1037"/>
      <c r="AP1374" s="1037"/>
    </row>
    <row r="1375" spans="1:42" s="226" customFormat="1">
      <c r="A1375" s="2060"/>
      <c r="B1375" s="1037"/>
      <c r="C1375" s="1037"/>
      <c r="D1375" s="1037"/>
      <c r="E1375" s="1037"/>
      <c r="F1375" s="1037"/>
      <c r="G1375" s="1037"/>
      <c r="H1375" s="1018"/>
      <c r="I1375" s="1037"/>
      <c r="J1375" s="1037"/>
      <c r="K1375" s="1037"/>
      <c r="L1375" s="1037"/>
      <c r="M1375" s="1037"/>
      <c r="N1375" s="1037"/>
      <c r="O1375" s="1037"/>
      <c r="P1375" s="1037"/>
      <c r="Q1375" s="1037"/>
      <c r="R1375" s="1037"/>
      <c r="S1375" s="1037"/>
      <c r="T1375" s="1037"/>
      <c r="U1375" s="1037"/>
      <c r="V1375" s="1037"/>
      <c r="W1375" s="1037"/>
      <c r="X1375" s="1037"/>
      <c r="Y1375" s="1037"/>
      <c r="Z1375" s="1037"/>
      <c r="AA1375" s="1037"/>
      <c r="AB1375" s="1037"/>
      <c r="AC1375" s="1037"/>
      <c r="AD1375" s="1037"/>
      <c r="AE1375" s="1037"/>
      <c r="AF1375" s="1037"/>
      <c r="AG1375" s="1037"/>
      <c r="AH1375" s="1037"/>
      <c r="AI1375" s="1037"/>
      <c r="AJ1375" s="1037"/>
      <c r="AK1375" s="1037"/>
      <c r="AL1375" s="1037"/>
      <c r="AM1375" s="1037"/>
      <c r="AN1375" s="1037"/>
      <c r="AO1375" s="1037"/>
      <c r="AP1375" s="1037"/>
    </row>
    <row r="1376" spans="1:42" s="226" customFormat="1">
      <c r="A1376" s="2060"/>
      <c r="B1376" s="1037"/>
      <c r="C1376" s="1037"/>
      <c r="D1376" s="1037"/>
      <c r="E1376" s="1037"/>
      <c r="F1376" s="1037"/>
      <c r="G1376" s="1037"/>
      <c r="H1376" s="1018"/>
      <c r="I1376" s="1037"/>
      <c r="J1376" s="1037"/>
      <c r="K1376" s="1037"/>
      <c r="L1376" s="1037"/>
      <c r="M1376" s="1037"/>
      <c r="N1376" s="1037"/>
      <c r="O1376" s="1037"/>
      <c r="P1376" s="1037"/>
      <c r="Q1376" s="1037"/>
      <c r="R1376" s="1037"/>
      <c r="S1376" s="1037"/>
      <c r="T1376" s="1037"/>
      <c r="U1376" s="1037"/>
      <c r="V1376" s="1037"/>
      <c r="W1376" s="1037"/>
      <c r="X1376" s="1037"/>
      <c r="Y1376" s="1037"/>
      <c r="Z1376" s="1037"/>
      <c r="AA1376" s="1037"/>
      <c r="AB1376" s="1037"/>
      <c r="AC1376" s="1037"/>
      <c r="AD1376" s="1037"/>
      <c r="AE1376" s="1037"/>
      <c r="AF1376" s="1037"/>
      <c r="AG1376" s="1037"/>
      <c r="AH1376" s="1037"/>
      <c r="AI1376" s="1037"/>
      <c r="AJ1376" s="1037"/>
      <c r="AK1376" s="1037"/>
      <c r="AL1376" s="1037"/>
      <c r="AM1376" s="1037"/>
      <c r="AN1376" s="1037"/>
      <c r="AO1376" s="1037"/>
      <c r="AP1376" s="1037"/>
    </row>
    <row r="1377" spans="1:42" s="226" customFormat="1">
      <c r="A1377" s="2060"/>
      <c r="B1377" s="1037"/>
      <c r="C1377" s="1037"/>
      <c r="D1377" s="1037"/>
      <c r="E1377" s="1037"/>
      <c r="F1377" s="1037"/>
      <c r="G1377" s="1037"/>
      <c r="H1377" s="1018"/>
      <c r="I1377" s="1037"/>
      <c r="J1377" s="1037"/>
      <c r="K1377" s="1037"/>
      <c r="L1377" s="1037"/>
      <c r="M1377" s="1037"/>
      <c r="N1377" s="1037"/>
      <c r="O1377" s="1037"/>
      <c r="P1377" s="1037"/>
      <c r="Q1377" s="1037"/>
      <c r="R1377" s="1037"/>
      <c r="S1377" s="1037"/>
      <c r="T1377" s="1037"/>
      <c r="U1377" s="1037"/>
      <c r="V1377" s="1037"/>
      <c r="W1377" s="1037"/>
      <c r="X1377" s="1037"/>
      <c r="Y1377" s="1037"/>
      <c r="Z1377" s="1037"/>
      <c r="AA1377" s="1037"/>
      <c r="AB1377" s="1037"/>
      <c r="AC1377" s="1037"/>
      <c r="AD1377" s="1037"/>
      <c r="AE1377" s="1037"/>
      <c r="AF1377" s="1037"/>
      <c r="AG1377" s="1037"/>
      <c r="AH1377" s="1037"/>
      <c r="AI1377" s="1037"/>
      <c r="AJ1377" s="1037"/>
      <c r="AK1377" s="1037"/>
      <c r="AL1377" s="1037"/>
      <c r="AM1377" s="1037"/>
      <c r="AN1377" s="1037"/>
      <c r="AO1377" s="1037"/>
      <c r="AP1377" s="1037"/>
    </row>
    <row r="1378" spans="1:42" s="226" customFormat="1">
      <c r="A1378" s="2060"/>
      <c r="B1378" s="1037"/>
      <c r="C1378" s="1037"/>
      <c r="D1378" s="1037"/>
      <c r="E1378" s="1037"/>
      <c r="F1378" s="1037"/>
      <c r="G1378" s="1037"/>
      <c r="H1378" s="1018"/>
      <c r="I1378" s="1037"/>
      <c r="J1378" s="1037"/>
      <c r="K1378" s="1037"/>
      <c r="L1378" s="1037"/>
      <c r="M1378" s="1037"/>
      <c r="N1378" s="1037"/>
      <c r="O1378" s="1037"/>
      <c r="P1378" s="1037"/>
      <c r="Q1378" s="1037"/>
      <c r="R1378" s="1037"/>
      <c r="S1378" s="1037"/>
      <c r="T1378" s="1037"/>
      <c r="U1378" s="1037"/>
      <c r="V1378" s="1037"/>
      <c r="W1378" s="1037"/>
      <c r="X1378" s="1037"/>
      <c r="Y1378" s="1037"/>
      <c r="Z1378" s="1037"/>
      <c r="AA1378" s="1037"/>
      <c r="AB1378" s="1037"/>
      <c r="AC1378" s="1037"/>
      <c r="AD1378" s="1037"/>
      <c r="AE1378" s="1037"/>
      <c r="AF1378" s="1037"/>
      <c r="AG1378" s="1037"/>
      <c r="AH1378" s="1037"/>
      <c r="AI1378" s="1037"/>
      <c r="AJ1378" s="1037"/>
      <c r="AK1378" s="1037"/>
      <c r="AL1378" s="1037"/>
      <c r="AM1378" s="1037"/>
      <c r="AN1378" s="1037"/>
      <c r="AO1378" s="1037"/>
      <c r="AP1378" s="1037"/>
    </row>
    <row r="1379" spans="1:42" s="226" customFormat="1">
      <c r="A1379" s="2060"/>
      <c r="B1379" s="1037"/>
      <c r="C1379" s="1037"/>
      <c r="D1379" s="1037"/>
      <c r="E1379" s="1037"/>
      <c r="F1379" s="1037"/>
      <c r="G1379" s="1037"/>
      <c r="H1379" s="1018"/>
      <c r="I1379" s="1037"/>
      <c r="J1379" s="1037"/>
      <c r="K1379" s="1037"/>
      <c r="L1379" s="1037"/>
      <c r="M1379" s="1037"/>
      <c r="N1379" s="1037"/>
      <c r="O1379" s="1037"/>
      <c r="P1379" s="1037"/>
      <c r="Q1379" s="1037"/>
      <c r="R1379" s="1037"/>
      <c r="S1379" s="1037"/>
      <c r="T1379" s="1037"/>
      <c r="U1379" s="1037"/>
      <c r="V1379" s="1037"/>
      <c r="W1379" s="1037"/>
      <c r="X1379" s="1037"/>
      <c r="Y1379" s="1037"/>
      <c r="Z1379" s="1037"/>
      <c r="AA1379" s="1037"/>
      <c r="AB1379" s="1037"/>
      <c r="AC1379" s="1037"/>
      <c r="AD1379" s="1037"/>
      <c r="AE1379" s="1037"/>
      <c r="AF1379" s="1037"/>
      <c r="AG1379" s="1037"/>
      <c r="AH1379" s="1037"/>
      <c r="AI1379" s="1037"/>
      <c r="AJ1379" s="1037"/>
      <c r="AK1379" s="1037"/>
      <c r="AL1379" s="1037"/>
      <c r="AM1379" s="1037"/>
      <c r="AN1379" s="1037"/>
      <c r="AO1379" s="1037"/>
      <c r="AP1379" s="1037"/>
    </row>
    <row r="1380" spans="1:42" s="226" customFormat="1">
      <c r="A1380" s="2060"/>
      <c r="B1380" s="1037"/>
      <c r="C1380" s="1037"/>
      <c r="D1380" s="1037"/>
      <c r="E1380" s="1037"/>
      <c r="F1380" s="1037"/>
      <c r="G1380" s="1037"/>
      <c r="H1380" s="1018"/>
      <c r="I1380" s="1037"/>
      <c r="J1380" s="1037"/>
      <c r="K1380" s="1037"/>
      <c r="L1380" s="1037"/>
      <c r="M1380" s="1037"/>
      <c r="N1380" s="1037"/>
      <c r="O1380" s="1037"/>
      <c r="P1380" s="1037"/>
      <c r="Q1380" s="1037"/>
      <c r="R1380" s="1037"/>
      <c r="S1380" s="1037"/>
      <c r="T1380" s="1037"/>
      <c r="U1380" s="1037"/>
      <c r="V1380" s="1037"/>
      <c r="W1380" s="1037"/>
      <c r="X1380" s="1037"/>
      <c r="Y1380" s="1037"/>
      <c r="Z1380" s="1037"/>
      <c r="AA1380" s="1037"/>
      <c r="AB1380" s="1037"/>
      <c r="AC1380" s="1037"/>
      <c r="AD1380" s="1037"/>
      <c r="AE1380" s="1037"/>
      <c r="AF1380" s="1037"/>
      <c r="AG1380" s="1037"/>
      <c r="AH1380" s="1037"/>
      <c r="AI1380" s="1037"/>
      <c r="AJ1380" s="1037"/>
      <c r="AK1380" s="1037"/>
      <c r="AL1380" s="1037"/>
      <c r="AM1380" s="1037"/>
      <c r="AN1380" s="1037"/>
      <c r="AO1380" s="1037"/>
      <c r="AP1380" s="1037"/>
    </row>
    <row r="1381" spans="1:42" s="226" customFormat="1">
      <c r="A1381" s="2060"/>
      <c r="B1381" s="1037"/>
      <c r="C1381" s="1037"/>
      <c r="D1381" s="1037"/>
      <c r="E1381" s="1037"/>
      <c r="F1381" s="1037"/>
      <c r="G1381" s="1037"/>
      <c r="H1381" s="1018"/>
      <c r="I1381" s="1037"/>
      <c r="J1381" s="1037"/>
      <c r="K1381" s="1037"/>
      <c r="L1381" s="1037"/>
      <c r="M1381" s="1037"/>
      <c r="N1381" s="1037"/>
      <c r="O1381" s="1037"/>
      <c r="P1381" s="1037"/>
      <c r="Q1381" s="1037"/>
      <c r="R1381" s="1037"/>
      <c r="S1381" s="1037"/>
      <c r="T1381" s="1037"/>
      <c r="U1381" s="1037"/>
      <c r="V1381" s="1037"/>
      <c r="W1381" s="1037"/>
      <c r="X1381" s="1037"/>
      <c r="Y1381" s="1037"/>
      <c r="Z1381" s="1037"/>
      <c r="AA1381" s="1037"/>
      <c r="AB1381" s="1037"/>
      <c r="AC1381" s="1037"/>
      <c r="AD1381" s="1037"/>
      <c r="AE1381" s="1037"/>
      <c r="AF1381" s="1037"/>
      <c r="AG1381" s="1037"/>
      <c r="AH1381" s="1037"/>
      <c r="AI1381" s="1037"/>
      <c r="AJ1381" s="1037"/>
      <c r="AK1381" s="1037"/>
      <c r="AL1381" s="1037"/>
      <c r="AM1381" s="1037"/>
      <c r="AN1381" s="1037"/>
      <c r="AO1381" s="1037"/>
      <c r="AP1381" s="1037"/>
    </row>
    <row r="1382" spans="1:42" s="226" customFormat="1">
      <c r="A1382" s="2060"/>
      <c r="B1382" s="1037"/>
      <c r="C1382" s="1037"/>
      <c r="D1382" s="1037"/>
      <c r="E1382" s="1037"/>
      <c r="F1382" s="1037"/>
      <c r="G1382" s="1037"/>
      <c r="H1382" s="1018"/>
      <c r="I1382" s="1037"/>
      <c r="J1382" s="1037"/>
      <c r="K1382" s="1037"/>
      <c r="L1382" s="1037"/>
      <c r="M1382" s="1037"/>
      <c r="N1382" s="1037"/>
      <c r="O1382" s="1037"/>
      <c r="P1382" s="1037"/>
      <c r="Q1382" s="1037"/>
      <c r="R1382" s="1037"/>
      <c r="S1382" s="1037"/>
      <c r="T1382" s="1037"/>
      <c r="U1382" s="1037"/>
      <c r="V1382" s="1037"/>
      <c r="W1382" s="1037"/>
      <c r="X1382" s="1037"/>
      <c r="Y1382" s="1037"/>
      <c r="Z1382" s="1037"/>
      <c r="AA1382" s="1037"/>
      <c r="AB1382" s="1037"/>
      <c r="AC1382" s="1037"/>
      <c r="AD1382" s="1037"/>
      <c r="AE1382" s="1037"/>
      <c r="AF1382" s="1037"/>
      <c r="AG1382" s="1037"/>
      <c r="AH1382" s="1037"/>
      <c r="AI1382" s="1037"/>
      <c r="AJ1382" s="1037"/>
      <c r="AK1382" s="1037"/>
      <c r="AL1382" s="1037"/>
      <c r="AM1382" s="1037"/>
      <c r="AN1382" s="1037"/>
      <c r="AO1382" s="1037"/>
      <c r="AP1382" s="1037"/>
    </row>
    <row r="1383" spans="1:42" s="226" customFormat="1">
      <c r="A1383" s="2060"/>
      <c r="B1383" s="1037"/>
      <c r="C1383" s="1037"/>
      <c r="D1383" s="1037"/>
      <c r="E1383" s="1037"/>
      <c r="F1383" s="1037"/>
      <c r="G1383" s="1037"/>
      <c r="H1383" s="1018"/>
      <c r="I1383" s="1037"/>
      <c r="J1383" s="1037"/>
      <c r="K1383" s="1037"/>
      <c r="L1383" s="1037"/>
      <c r="M1383" s="1037"/>
      <c r="N1383" s="1037"/>
      <c r="O1383" s="1037"/>
      <c r="P1383" s="1037"/>
      <c r="Q1383" s="1037"/>
      <c r="R1383" s="1037"/>
      <c r="S1383" s="1037"/>
      <c r="T1383" s="1037"/>
      <c r="U1383" s="1037"/>
      <c r="V1383" s="1037"/>
      <c r="W1383" s="1037"/>
      <c r="X1383" s="1037"/>
      <c r="Y1383" s="1037"/>
      <c r="Z1383" s="1037"/>
      <c r="AA1383" s="1037"/>
      <c r="AB1383" s="1037"/>
      <c r="AC1383" s="1037"/>
      <c r="AD1383" s="1037"/>
      <c r="AE1383" s="1037"/>
      <c r="AF1383" s="1037"/>
      <c r="AG1383" s="1037"/>
      <c r="AH1383" s="1037"/>
      <c r="AI1383" s="1037"/>
      <c r="AJ1383" s="1037"/>
      <c r="AK1383" s="1037"/>
      <c r="AL1383" s="1037"/>
      <c r="AM1383" s="1037"/>
      <c r="AN1383" s="1037"/>
      <c r="AO1383" s="1037"/>
      <c r="AP1383" s="1037"/>
    </row>
    <row r="1384" spans="1:42" s="226" customFormat="1">
      <c r="A1384" s="2060"/>
      <c r="B1384" s="1037"/>
      <c r="C1384" s="1037"/>
      <c r="D1384" s="1037"/>
      <c r="E1384" s="1037"/>
      <c r="F1384" s="1037"/>
      <c r="G1384" s="1037"/>
      <c r="H1384" s="1018"/>
      <c r="I1384" s="1037"/>
      <c r="J1384" s="1037"/>
      <c r="K1384" s="1037"/>
      <c r="L1384" s="1037"/>
      <c r="M1384" s="1037"/>
      <c r="N1384" s="1037"/>
      <c r="O1384" s="1037"/>
      <c r="P1384" s="1037"/>
      <c r="Q1384" s="1037"/>
      <c r="R1384" s="1037"/>
      <c r="S1384" s="1037"/>
      <c r="T1384" s="1037"/>
      <c r="U1384" s="1037"/>
      <c r="V1384" s="1037"/>
      <c r="W1384" s="1037"/>
      <c r="X1384" s="1037"/>
      <c r="Y1384" s="1037"/>
      <c r="Z1384" s="1037"/>
      <c r="AA1384" s="1037"/>
      <c r="AB1384" s="1037"/>
      <c r="AC1384" s="1037"/>
      <c r="AD1384" s="1037"/>
      <c r="AE1384" s="1037"/>
      <c r="AF1384" s="1037"/>
      <c r="AG1384" s="1037"/>
      <c r="AH1384" s="1037"/>
      <c r="AI1384" s="1037"/>
      <c r="AJ1384" s="1037"/>
      <c r="AK1384" s="1037"/>
      <c r="AL1384" s="1037"/>
      <c r="AM1384" s="1037"/>
      <c r="AN1384" s="1037"/>
      <c r="AO1384" s="1037"/>
      <c r="AP1384" s="1037"/>
    </row>
    <row r="1385" spans="1:42" s="226" customFormat="1">
      <c r="A1385" s="2060"/>
      <c r="B1385" s="1037"/>
      <c r="C1385" s="1037"/>
      <c r="D1385" s="1037"/>
      <c r="E1385" s="1037"/>
      <c r="F1385" s="1037"/>
      <c r="G1385" s="1037"/>
      <c r="H1385" s="1018"/>
      <c r="I1385" s="1037"/>
      <c r="J1385" s="1037"/>
      <c r="K1385" s="1037"/>
      <c r="L1385" s="1037"/>
      <c r="M1385" s="1037"/>
      <c r="N1385" s="1037"/>
      <c r="O1385" s="1037"/>
      <c r="P1385" s="1037"/>
      <c r="Q1385" s="1037"/>
      <c r="R1385" s="1037"/>
      <c r="S1385" s="1037"/>
      <c r="T1385" s="1037"/>
      <c r="U1385" s="1037"/>
      <c r="V1385" s="1037"/>
      <c r="W1385" s="1037"/>
      <c r="X1385" s="1037"/>
      <c r="Y1385" s="1037"/>
      <c r="Z1385" s="1037"/>
      <c r="AA1385" s="1037"/>
      <c r="AB1385" s="1037"/>
      <c r="AC1385" s="1037"/>
      <c r="AD1385" s="1037"/>
      <c r="AE1385" s="1037"/>
      <c r="AF1385" s="1037"/>
      <c r="AG1385" s="1037"/>
      <c r="AH1385" s="1037"/>
      <c r="AI1385" s="1037"/>
      <c r="AJ1385" s="1037"/>
      <c r="AK1385" s="1037"/>
      <c r="AL1385" s="1037"/>
      <c r="AM1385" s="1037"/>
      <c r="AN1385" s="1037"/>
      <c r="AO1385" s="1037"/>
      <c r="AP1385" s="1037"/>
    </row>
    <row r="1386" spans="1:42" s="226" customFormat="1">
      <c r="A1386" s="2060"/>
      <c r="B1386" s="1037"/>
      <c r="C1386" s="1037"/>
      <c r="D1386" s="1037"/>
      <c r="E1386" s="1037"/>
      <c r="F1386" s="1037"/>
      <c r="G1386" s="1037"/>
      <c r="H1386" s="1018"/>
      <c r="I1386" s="1037"/>
      <c r="J1386" s="1037"/>
      <c r="K1386" s="1037"/>
      <c r="L1386" s="1037"/>
      <c r="M1386" s="1037"/>
      <c r="N1386" s="1037"/>
      <c r="O1386" s="1037"/>
      <c r="P1386" s="1037"/>
      <c r="Q1386" s="1037"/>
      <c r="R1386" s="1037"/>
      <c r="S1386" s="1037"/>
      <c r="T1386" s="1037"/>
      <c r="U1386" s="1037"/>
      <c r="V1386" s="1037"/>
      <c r="W1386" s="1037"/>
      <c r="X1386" s="1037"/>
      <c r="Y1386" s="1037"/>
      <c r="Z1386" s="1037"/>
      <c r="AA1386" s="1037"/>
      <c r="AB1386" s="1037"/>
      <c r="AC1386" s="1037"/>
      <c r="AD1386" s="1037"/>
      <c r="AE1386" s="1037"/>
      <c r="AF1386" s="1037"/>
      <c r="AG1386" s="1037"/>
      <c r="AH1386" s="1037"/>
      <c r="AI1386" s="1037"/>
      <c r="AJ1386" s="1037"/>
      <c r="AK1386" s="1037"/>
      <c r="AL1386" s="1037"/>
      <c r="AM1386" s="1037"/>
      <c r="AN1386" s="1037"/>
      <c r="AO1386" s="1037"/>
      <c r="AP1386" s="1037"/>
    </row>
    <row r="1387" spans="1:42" s="226" customFormat="1">
      <c r="A1387" s="2060"/>
      <c r="B1387" s="1037"/>
      <c r="C1387" s="1037"/>
      <c r="D1387" s="1037"/>
      <c r="E1387" s="1037"/>
      <c r="F1387" s="1037"/>
      <c r="G1387" s="1037"/>
      <c r="H1387" s="1018"/>
      <c r="I1387" s="1037"/>
      <c r="J1387" s="1037"/>
      <c r="K1387" s="1037"/>
      <c r="L1387" s="1037"/>
      <c r="M1387" s="1037"/>
      <c r="N1387" s="1037"/>
      <c r="O1387" s="1037"/>
      <c r="P1387" s="1037"/>
      <c r="Q1387" s="1037"/>
      <c r="R1387" s="1037"/>
      <c r="S1387" s="1037"/>
      <c r="T1387" s="1037"/>
      <c r="U1387" s="1037"/>
      <c r="V1387" s="1037"/>
      <c r="W1387" s="1037"/>
      <c r="X1387" s="1037"/>
      <c r="Y1387" s="1037"/>
      <c r="Z1387" s="1037"/>
      <c r="AA1387" s="1037"/>
      <c r="AB1387" s="1037"/>
      <c r="AC1387" s="1037"/>
      <c r="AD1387" s="1037"/>
      <c r="AE1387" s="1037"/>
      <c r="AF1387" s="1037"/>
      <c r="AG1387" s="1037"/>
      <c r="AH1387" s="1037"/>
      <c r="AI1387" s="1037"/>
      <c r="AJ1387" s="1037"/>
      <c r="AK1387" s="1037"/>
      <c r="AL1387" s="1037"/>
      <c r="AM1387" s="1037"/>
      <c r="AN1387" s="1037"/>
      <c r="AO1387" s="1037"/>
      <c r="AP1387" s="1037"/>
    </row>
    <row r="1388" spans="1:42" s="226" customFormat="1">
      <c r="A1388" s="2060"/>
      <c r="B1388" s="1037"/>
      <c r="C1388" s="1037"/>
      <c r="D1388" s="1037"/>
      <c r="E1388" s="1037"/>
      <c r="F1388" s="1037"/>
      <c r="G1388" s="1037"/>
      <c r="H1388" s="1018"/>
      <c r="I1388" s="1037"/>
      <c r="J1388" s="1037"/>
      <c r="K1388" s="1037"/>
      <c r="L1388" s="1037"/>
      <c r="M1388" s="1037"/>
      <c r="N1388" s="1037"/>
      <c r="O1388" s="1037"/>
      <c r="P1388" s="1037"/>
      <c r="Q1388" s="1037"/>
      <c r="R1388" s="1037"/>
      <c r="S1388" s="1037"/>
      <c r="T1388" s="1037"/>
      <c r="U1388" s="1037"/>
      <c r="V1388" s="1037"/>
      <c r="W1388" s="1037"/>
      <c r="X1388" s="1037"/>
      <c r="Y1388" s="1037"/>
      <c r="Z1388" s="1037"/>
      <c r="AA1388" s="1037"/>
      <c r="AB1388" s="1037"/>
      <c r="AC1388" s="1037"/>
      <c r="AD1388" s="1037"/>
      <c r="AE1388" s="1037"/>
      <c r="AF1388" s="1037"/>
      <c r="AG1388" s="1037"/>
      <c r="AH1388" s="1037"/>
      <c r="AI1388" s="1037"/>
      <c r="AJ1388" s="1037"/>
      <c r="AK1388" s="1037"/>
      <c r="AL1388" s="1037"/>
      <c r="AM1388" s="1037"/>
      <c r="AN1388" s="1037"/>
      <c r="AO1388" s="1037"/>
      <c r="AP1388" s="1037"/>
    </row>
    <row r="1389" spans="1:42" s="226" customFormat="1">
      <c r="A1389" s="2060"/>
      <c r="B1389" s="1037"/>
      <c r="C1389" s="1037"/>
      <c r="D1389" s="1037"/>
      <c r="E1389" s="1037"/>
      <c r="F1389" s="1037"/>
      <c r="G1389" s="1037"/>
      <c r="H1389" s="1018"/>
      <c r="I1389" s="1037"/>
      <c r="J1389" s="1037"/>
      <c r="K1389" s="1037"/>
      <c r="L1389" s="1037"/>
      <c r="M1389" s="1037"/>
      <c r="N1389" s="1037"/>
      <c r="O1389" s="1037"/>
      <c r="P1389" s="1037"/>
      <c r="Q1389" s="1037"/>
      <c r="R1389" s="1037"/>
      <c r="S1389" s="1037"/>
      <c r="T1389" s="1037"/>
      <c r="U1389" s="1037"/>
      <c r="V1389" s="1037"/>
      <c r="W1389" s="1037"/>
      <c r="X1389" s="1037"/>
      <c r="Y1389" s="1037"/>
      <c r="Z1389" s="1037"/>
      <c r="AA1389" s="1037"/>
      <c r="AB1389" s="1037"/>
      <c r="AC1389" s="1037"/>
      <c r="AD1389" s="1037"/>
      <c r="AE1389" s="1037"/>
      <c r="AF1389" s="1037"/>
      <c r="AG1389" s="1037"/>
      <c r="AH1389" s="1037"/>
      <c r="AI1389" s="1037"/>
      <c r="AJ1389" s="1037"/>
      <c r="AK1389" s="1037"/>
      <c r="AL1389" s="1037"/>
      <c r="AM1389" s="1037"/>
      <c r="AN1389" s="1037"/>
      <c r="AO1389" s="1037"/>
      <c r="AP1389" s="1037"/>
    </row>
    <row r="1390" spans="1:42" s="226" customFormat="1">
      <c r="A1390" s="2060"/>
      <c r="B1390" s="1037"/>
      <c r="C1390" s="1037"/>
      <c r="D1390" s="1037"/>
      <c r="E1390" s="1037"/>
      <c r="F1390" s="1037"/>
      <c r="G1390" s="1037"/>
      <c r="H1390" s="1018"/>
      <c r="I1390" s="1037"/>
      <c r="J1390" s="1037"/>
      <c r="K1390" s="1037"/>
      <c r="L1390" s="1037"/>
      <c r="M1390" s="1037"/>
      <c r="N1390" s="1037"/>
      <c r="O1390" s="1037"/>
      <c r="P1390" s="1037"/>
      <c r="Q1390" s="1037"/>
      <c r="R1390" s="1037"/>
      <c r="S1390" s="1037"/>
      <c r="T1390" s="1037"/>
      <c r="U1390" s="1037"/>
      <c r="V1390" s="1037"/>
      <c r="W1390" s="1037"/>
      <c r="X1390" s="1037"/>
      <c r="Y1390" s="1037"/>
      <c r="Z1390" s="1037"/>
      <c r="AA1390" s="1037"/>
      <c r="AB1390" s="1037"/>
      <c r="AC1390" s="1037"/>
      <c r="AD1390" s="1037"/>
      <c r="AE1390" s="1037"/>
      <c r="AF1390" s="1037"/>
      <c r="AG1390" s="1037"/>
      <c r="AH1390" s="1037"/>
      <c r="AI1390" s="1037"/>
      <c r="AJ1390" s="1037"/>
      <c r="AK1390" s="1037"/>
      <c r="AL1390" s="1037"/>
      <c r="AM1390" s="1037"/>
      <c r="AN1390" s="1037"/>
      <c r="AO1390" s="1037"/>
      <c r="AP1390" s="1037"/>
    </row>
    <row r="1391" spans="1:42" s="226" customFormat="1">
      <c r="A1391" s="2060"/>
      <c r="B1391" s="1037"/>
      <c r="C1391" s="1037"/>
      <c r="D1391" s="1037"/>
      <c r="E1391" s="1037"/>
      <c r="F1391" s="1037"/>
      <c r="G1391" s="1037"/>
      <c r="H1391" s="1018"/>
      <c r="I1391" s="1037"/>
      <c r="J1391" s="1037"/>
      <c r="K1391" s="1037"/>
      <c r="L1391" s="1037"/>
      <c r="M1391" s="1037"/>
      <c r="N1391" s="1037"/>
      <c r="O1391" s="1037"/>
      <c r="P1391" s="1037"/>
      <c r="Q1391" s="1037"/>
      <c r="R1391" s="1037"/>
      <c r="S1391" s="1037"/>
      <c r="T1391" s="1037"/>
      <c r="U1391" s="1037"/>
      <c r="V1391" s="1037"/>
      <c r="W1391" s="1037"/>
      <c r="X1391" s="1037"/>
      <c r="Y1391" s="1037"/>
      <c r="Z1391" s="1037"/>
      <c r="AA1391" s="1037"/>
      <c r="AB1391" s="1037"/>
      <c r="AC1391" s="1037"/>
      <c r="AD1391" s="1037"/>
      <c r="AE1391" s="1037"/>
      <c r="AF1391" s="1037"/>
      <c r="AG1391" s="1037"/>
      <c r="AH1391" s="1037"/>
      <c r="AI1391" s="1037"/>
      <c r="AJ1391" s="1037"/>
      <c r="AK1391" s="1037"/>
      <c r="AL1391" s="1037"/>
      <c r="AM1391" s="1037"/>
      <c r="AN1391" s="1037"/>
      <c r="AO1391" s="1037"/>
      <c r="AP1391" s="1037"/>
    </row>
    <row r="1392" spans="1:42" s="226" customFormat="1">
      <c r="A1392" s="2060"/>
      <c r="B1392" s="1037"/>
      <c r="C1392" s="1037"/>
      <c r="D1392" s="1037"/>
      <c r="E1392" s="1037"/>
      <c r="F1392" s="1037"/>
      <c r="G1392" s="1037"/>
      <c r="H1392" s="1018"/>
      <c r="I1392" s="1037"/>
      <c r="J1392" s="1037"/>
      <c r="K1392" s="1037"/>
      <c r="L1392" s="1037"/>
      <c r="M1392" s="1037"/>
      <c r="N1392" s="1037"/>
      <c r="O1392" s="1037"/>
      <c r="P1392" s="1037"/>
      <c r="Q1392" s="1037"/>
      <c r="R1392" s="1037"/>
      <c r="S1392" s="1037"/>
      <c r="T1392" s="1037"/>
      <c r="U1392" s="1037"/>
      <c r="V1392" s="1037"/>
      <c r="W1392" s="1037"/>
      <c r="X1392" s="1037"/>
      <c r="Y1392" s="1037"/>
      <c r="Z1392" s="1037"/>
      <c r="AA1392" s="1037"/>
      <c r="AB1392" s="1037"/>
      <c r="AC1392" s="1037"/>
      <c r="AD1392" s="1037"/>
      <c r="AE1392" s="1037"/>
      <c r="AF1392" s="1037"/>
      <c r="AG1392" s="1037"/>
      <c r="AH1392" s="1037"/>
      <c r="AI1392" s="1037"/>
      <c r="AJ1392" s="1037"/>
      <c r="AK1392" s="1037"/>
      <c r="AL1392" s="1037"/>
      <c r="AM1392" s="1037"/>
      <c r="AN1392" s="1037"/>
      <c r="AO1392" s="1037"/>
      <c r="AP1392" s="1037"/>
    </row>
    <row r="1393" spans="1:42" s="226" customFormat="1">
      <c r="A1393" s="2060"/>
      <c r="B1393" s="1037"/>
      <c r="C1393" s="1037"/>
      <c r="D1393" s="1037"/>
      <c r="E1393" s="1037"/>
      <c r="F1393" s="1037"/>
      <c r="G1393" s="1037"/>
      <c r="H1393" s="1018"/>
      <c r="I1393" s="1037"/>
      <c r="J1393" s="1037"/>
      <c r="K1393" s="1037"/>
      <c r="L1393" s="1037"/>
      <c r="M1393" s="1037"/>
      <c r="N1393" s="1037"/>
      <c r="O1393" s="1037"/>
      <c r="P1393" s="1037"/>
      <c r="Q1393" s="1037"/>
      <c r="R1393" s="1037"/>
      <c r="S1393" s="1037"/>
      <c r="T1393" s="1037"/>
      <c r="U1393" s="1037"/>
      <c r="V1393" s="1037"/>
      <c r="W1393" s="1037"/>
      <c r="X1393" s="1037"/>
      <c r="Y1393" s="1037"/>
      <c r="Z1393" s="1037"/>
      <c r="AA1393" s="1037"/>
      <c r="AB1393" s="1037"/>
      <c r="AC1393" s="1037"/>
      <c r="AD1393" s="1037"/>
      <c r="AE1393" s="1037"/>
      <c r="AF1393" s="1037"/>
      <c r="AG1393" s="1037"/>
      <c r="AH1393" s="1037"/>
      <c r="AI1393" s="1037"/>
      <c r="AJ1393" s="1037"/>
      <c r="AK1393" s="1037"/>
      <c r="AL1393" s="1037"/>
      <c r="AM1393" s="1037"/>
      <c r="AN1393" s="1037"/>
      <c r="AO1393" s="1037"/>
      <c r="AP1393" s="1037"/>
    </row>
    <row r="1394" spans="1:42" s="226" customFormat="1">
      <c r="A1394" s="2060"/>
      <c r="B1394" s="1037"/>
      <c r="C1394" s="1037"/>
      <c r="D1394" s="1037"/>
      <c r="E1394" s="1037"/>
      <c r="F1394" s="1037"/>
      <c r="G1394" s="1037"/>
      <c r="H1394" s="1018"/>
      <c r="I1394" s="1037"/>
      <c r="J1394" s="1037"/>
      <c r="K1394" s="1037"/>
      <c r="L1394" s="1037"/>
      <c r="M1394" s="1037"/>
      <c r="N1394" s="1037"/>
      <c r="O1394" s="1037"/>
      <c r="P1394" s="1037"/>
      <c r="Q1394" s="1037"/>
      <c r="R1394" s="1037"/>
      <c r="S1394" s="1037"/>
      <c r="T1394" s="1037"/>
      <c r="U1394" s="1037"/>
      <c r="V1394" s="1037"/>
      <c r="W1394" s="1037"/>
      <c r="X1394" s="1037"/>
      <c r="Y1394" s="1037"/>
      <c r="Z1394" s="1037"/>
      <c r="AA1394" s="1037"/>
      <c r="AB1394" s="1037"/>
      <c r="AC1394" s="1037"/>
      <c r="AD1394" s="1037"/>
      <c r="AE1394" s="1037"/>
      <c r="AF1394" s="1037"/>
      <c r="AG1394" s="1037"/>
      <c r="AH1394" s="1037"/>
      <c r="AI1394" s="1037"/>
      <c r="AJ1394" s="1037"/>
      <c r="AK1394" s="1037"/>
      <c r="AL1394" s="1037"/>
      <c r="AM1394" s="1037"/>
      <c r="AN1394" s="1037"/>
      <c r="AO1394" s="1037"/>
      <c r="AP1394" s="1037"/>
    </row>
    <row r="1395" spans="1:42" s="226" customFormat="1">
      <c r="A1395" s="2060"/>
      <c r="B1395" s="1037"/>
      <c r="C1395" s="1037"/>
      <c r="D1395" s="1037"/>
      <c r="E1395" s="1037"/>
      <c r="F1395" s="1037"/>
      <c r="G1395" s="1037"/>
      <c r="H1395" s="1018"/>
      <c r="I1395" s="1037"/>
      <c r="J1395" s="1037"/>
      <c r="K1395" s="1037"/>
      <c r="L1395" s="1037"/>
      <c r="M1395" s="1037"/>
      <c r="N1395" s="1037"/>
      <c r="O1395" s="1037"/>
      <c r="P1395" s="1037"/>
      <c r="Q1395" s="1037"/>
      <c r="R1395" s="1037"/>
      <c r="S1395" s="1037"/>
      <c r="T1395" s="1037"/>
      <c r="U1395" s="1037"/>
      <c r="V1395" s="1037"/>
      <c r="W1395" s="1037"/>
      <c r="X1395" s="1037"/>
      <c r="Y1395" s="1037"/>
      <c r="Z1395" s="1037"/>
      <c r="AA1395" s="1037"/>
      <c r="AB1395" s="1037"/>
      <c r="AC1395" s="1037"/>
      <c r="AD1395" s="1037"/>
      <c r="AE1395" s="1037"/>
      <c r="AF1395" s="1037"/>
      <c r="AG1395" s="1037"/>
      <c r="AH1395" s="1037"/>
      <c r="AI1395" s="1037"/>
      <c r="AJ1395" s="1037"/>
      <c r="AK1395" s="1037"/>
      <c r="AL1395" s="1037"/>
      <c r="AM1395" s="1037"/>
      <c r="AN1395" s="1037"/>
      <c r="AO1395" s="1037"/>
      <c r="AP1395" s="1037"/>
    </row>
    <row r="1396" spans="1:42" s="226" customFormat="1">
      <c r="A1396" s="2060"/>
      <c r="B1396" s="1037"/>
      <c r="C1396" s="1037"/>
      <c r="D1396" s="1037"/>
      <c r="E1396" s="1037"/>
      <c r="F1396" s="1037"/>
      <c r="G1396" s="1037"/>
      <c r="H1396" s="1018"/>
      <c r="I1396" s="1037"/>
      <c r="J1396" s="1037"/>
      <c r="K1396" s="1037"/>
      <c r="L1396" s="1037"/>
      <c r="M1396" s="1037"/>
      <c r="N1396" s="1037"/>
      <c r="O1396" s="1037"/>
      <c r="P1396" s="1037"/>
      <c r="Q1396" s="1037"/>
      <c r="R1396" s="1037"/>
      <c r="S1396" s="1037"/>
      <c r="T1396" s="1037"/>
      <c r="U1396" s="1037"/>
      <c r="V1396" s="1037"/>
      <c r="W1396" s="1037"/>
      <c r="X1396" s="1037"/>
      <c r="Y1396" s="1037"/>
      <c r="Z1396" s="1037"/>
      <c r="AA1396" s="1037"/>
      <c r="AB1396" s="1037"/>
      <c r="AC1396" s="1037"/>
      <c r="AD1396" s="1037"/>
      <c r="AE1396" s="1037"/>
      <c r="AF1396" s="1037"/>
      <c r="AG1396" s="1037"/>
      <c r="AH1396" s="1037"/>
      <c r="AI1396" s="1037"/>
      <c r="AJ1396" s="1037"/>
      <c r="AK1396" s="1037"/>
      <c r="AL1396" s="1037"/>
      <c r="AM1396" s="1037"/>
      <c r="AN1396" s="1037"/>
      <c r="AO1396" s="1037"/>
      <c r="AP1396" s="1037"/>
    </row>
    <row r="1397" spans="1:42" s="226" customFormat="1">
      <c r="A1397" s="2060"/>
      <c r="B1397" s="1037"/>
      <c r="C1397" s="1037"/>
      <c r="D1397" s="1037"/>
      <c r="E1397" s="1037"/>
      <c r="F1397" s="1037"/>
      <c r="G1397" s="1037"/>
      <c r="H1397" s="1018"/>
      <c r="I1397" s="1037"/>
      <c r="J1397" s="1037"/>
      <c r="K1397" s="1037"/>
      <c r="L1397" s="1037"/>
      <c r="M1397" s="1037"/>
      <c r="N1397" s="1037"/>
      <c r="O1397" s="1037"/>
      <c r="P1397" s="1037"/>
      <c r="Q1397" s="1037"/>
      <c r="R1397" s="1037"/>
      <c r="S1397" s="1037"/>
      <c r="T1397" s="1037"/>
      <c r="U1397" s="1037"/>
      <c r="V1397" s="1037"/>
      <c r="W1397" s="1037"/>
      <c r="X1397" s="1037"/>
      <c r="Y1397" s="1037"/>
      <c r="Z1397" s="1037"/>
      <c r="AA1397" s="1037"/>
      <c r="AB1397" s="1037"/>
      <c r="AC1397" s="1037"/>
      <c r="AD1397" s="1037"/>
      <c r="AE1397" s="1037"/>
      <c r="AF1397" s="1037"/>
      <c r="AG1397" s="1037"/>
      <c r="AH1397" s="1037"/>
      <c r="AI1397" s="1037"/>
      <c r="AJ1397" s="1037"/>
      <c r="AK1397" s="1037"/>
      <c r="AL1397" s="1037"/>
      <c r="AM1397" s="1037"/>
      <c r="AN1397" s="1037"/>
      <c r="AO1397" s="1037"/>
      <c r="AP1397" s="1037"/>
    </row>
    <row r="1398" spans="1:42" s="226" customFormat="1">
      <c r="A1398" s="2060"/>
      <c r="B1398" s="1037"/>
      <c r="C1398" s="1037"/>
      <c r="D1398" s="1037"/>
      <c r="E1398" s="1037"/>
      <c r="F1398" s="1037"/>
      <c r="G1398" s="1037"/>
      <c r="H1398" s="1018"/>
      <c r="I1398" s="1037"/>
      <c r="J1398" s="1037"/>
      <c r="K1398" s="1037"/>
      <c r="L1398" s="1037"/>
      <c r="M1398" s="1037"/>
      <c r="N1398" s="1037"/>
      <c r="O1398" s="1037"/>
      <c r="P1398" s="1037"/>
      <c r="Q1398" s="1037"/>
      <c r="R1398" s="1037"/>
      <c r="S1398" s="1037"/>
      <c r="T1398" s="1037"/>
      <c r="U1398" s="1037"/>
      <c r="V1398" s="1037"/>
      <c r="W1398" s="1037"/>
      <c r="X1398" s="1037"/>
      <c r="Y1398" s="1037"/>
      <c r="Z1398" s="1037"/>
      <c r="AA1398" s="1037"/>
      <c r="AB1398" s="1037"/>
      <c r="AC1398" s="1037"/>
      <c r="AD1398" s="1037"/>
      <c r="AE1398" s="1037"/>
      <c r="AF1398" s="1037"/>
      <c r="AG1398" s="1037"/>
      <c r="AH1398" s="1037"/>
      <c r="AI1398" s="1037"/>
      <c r="AJ1398" s="1037"/>
      <c r="AK1398" s="1037"/>
      <c r="AL1398" s="1037"/>
      <c r="AM1398" s="1037"/>
      <c r="AN1398" s="1037"/>
      <c r="AO1398" s="1037"/>
      <c r="AP1398" s="1037"/>
    </row>
    <row r="1399" spans="1:42" s="226" customFormat="1">
      <c r="A1399" s="2060"/>
      <c r="B1399" s="1037"/>
      <c r="C1399" s="1037"/>
      <c r="D1399" s="1037"/>
      <c r="E1399" s="1037"/>
      <c r="F1399" s="1037"/>
      <c r="G1399" s="1037"/>
      <c r="H1399" s="1018"/>
      <c r="I1399" s="1037"/>
      <c r="J1399" s="1037"/>
      <c r="K1399" s="1037"/>
      <c r="L1399" s="1037"/>
      <c r="M1399" s="1037"/>
      <c r="N1399" s="1037"/>
      <c r="O1399" s="1037"/>
      <c r="P1399" s="1037"/>
      <c r="Q1399" s="1037"/>
      <c r="R1399" s="1037"/>
      <c r="S1399" s="1037"/>
      <c r="T1399" s="1037"/>
      <c r="U1399" s="1037"/>
      <c r="V1399" s="1037"/>
      <c r="W1399" s="1037"/>
      <c r="X1399" s="1037"/>
      <c r="Y1399" s="1037"/>
      <c r="Z1399" s="1037"/>
      <c r="AA1399" s="1037"/>
      <c r="AB1399" s="1037"/>
      <c r="AC1399" s="1037"/>
      <c r="AD1399" s="1037"/>
      <c r="AE1399" s="1037"/>
      <c r="AF1399" s="1037"/>
      <c r="AG1399" s="1037"/>
      <c r="AH1399" s="1037"/>
      <c r="AI1399" s="1037"/>
      <c r="AJ1399" s="1037"/>
      <c r="AK1399" s="1037"/>
      <c r="AL1399" s="1037"/>
      <c r="AM1399" s="1037"/>
      <c r="AN1399" s="1037"/>
      <c r="AO1399" s="1037"/>
      <c r="AP1399" s="1037"/>
    </row>
    <row r="1400" spans="1:42" s="226" customFormat="1">
      <c r="A1400" s="2060"/>
      <c r="B1400" s="1037"/>
      <c r="C1400" s="1037"/>
      <c r="D1400" s="1037"/>
      <c r="E1400" s="1037"/>
      <c r="F1400" s="1037"/>
      <c r="G1400" s="1037"/>
      <c r="H1400" s="1018"/>
      <c r="I1400" s="1037"/>
      <c r="J1400" s="1037"/>
      <c r="K1400" s="1037"/>
      <c r="L1400" s="1037"/>
      <c r="M1400" s="1037"/>
      <c r="N1400" s="1037"/>
      <c r="O1400" s="1037"/>
      <c r="P1400" s="1037"/>
      <c r="Q1400" s="1037"/>
      <c r="R1400" s="1037"/>
      <c r="S1400" s="1037"/>
      <c r="T1400" s="1037"/>
      <c r="U1400" s="1037"/>
      <c r="V1400" s="1037"/>
      <c r="W1400" s="1037"/>
      <c r="X1400" s="1037"/>
      <c r="Y1400" s="1037"/>
      <c r="Z1400" s="1037"/>
      <c r="AA1400" s="1037"/>
      <c r="AB1400" s="1037"/>
      <c r="AC1400" s="1037"/>
      <c r="AD1400" s="1037"/>
      <c r="AE1400" s="1037"/>
      <c r="AF1400" s="1037"/>
      <c r="AG1400" s="1037"/>
      <c r="AH1400" s="1037"/>
      <c r="AI1400" s="1037"/>
      <c r="AJ1400" s="1037"/>
      <c r="AK1400" s="1037"/>
      <c r="AL1400" s="1037"/>
      <c r="AM1400" s="1037"/>
      <c r="AN1400" s="1037"/>
      <c r="AO1400" s="1037"/>
      <c r="AP1400" s="1037"/>
    </row>
    <row r="1401" spans="1:42" s="226" customFormat="1">
      <c r="A1401" s="2060"/>
      <c r="B1401" s="1037"/>
      <c r="C1401" s="1037"/>
      <c r="D1401" s="1037"/>
      <c r="E1401" s="1037"/>
      <c r="F1401" s="1037"/>
      <c r="G1401" s="1037"/>
      <c r="H1401" s="1018"/>
      <c r="I1401" s="1037"/>
      <c r="J1401" s="1037"/>
      <c r="K1401" s="1037"/>
      <c r="L1401" s="1037"/>
      <c r="M1401" s="1037"/>
      <c r="N1401" s="1037"/>
      <c r="O1401" s="1037"/>
      <c r="P1401" s="1037"/>
      <c r="Q1401" s="1037"/>
      <c r="R1401" s="1037"/>
      <c r="S1401" s="1037"/>
      <c r="T1401" s="1037"/>
      <c r="U1401" s="1037"/>
      <c r="V1401" s="1037"/>
      <c r="W1401" s="1037"/>
      <c r="X1401" s="1037"/>
      <c r="Y1401" s="1037"/>
      <c r="Z1401" s="1037"/>
      <c r="AA1401" s="1037"/>
      <c r="AB1401" s="1037"/>
      <c r="AC1401" s="1037"/>
      <c r="AD1401" s="1037"/>
      <c r="AE1401" s="1037"/>
      <c r="AF1401" s="1037"/>
      <c r="AG1401" s="1037"/>
      <c r="AH1401" s="1037"/>
      <c r="AI1401" s="1037"/>
      <c r="AJ1401" s="1037"/>
      <c r="AK1401" s="1037"/>
      <c r="AL1401" s="1037"/>
      <c r="AM1401" s="1037"/>
      <c r="AN1401" s="1037"/>
      <c r="AO1401" s="1037"/>
      <c r="AP1401" s="1037"/>
    </row>
    <row r="1402" spans="1:42" s="226" customFormat="1">
      <c r="A1402" s="2060"/>
      <c r="B1402" s="1037"/>
      <c r="C1402" s="1037"/>
      <c r="D1402" s="1037"/>
      <c r="E1402" s="1037"/>
      <c r="F1402" s="1037"/>
      <c r="G1402" s="1037"/>
      <c r="H1402" s="1018"/>
      <c r="I1402" s="1037"/>
      <c r="J1402" s="1037"/>
      <c r="K1402" s="1037"/>
      <c r="L1402" s="1037"/>
      <c r="M1402" s="1037"/>
      <c r="N1402" s="1037"/>
      <c r="O1402" s="1037"/>
      <c r="P1402" s="1037"/>
      <c r="Q1402" s="1037"/>
      <c r="R1402" s="1037"/>
      <c r="S1402" s="1037"/>
      <c r="T1402" s="1037"/>
      <c r="U1402" s="1037"/>
      <c r="V1402" s="1037"/>
      <c r="W1402" s="1037"/>
      <c r="X1402" s="1037"/>
      <c r="Y1402" s="1037"/>
      <c r="Z1402" s="1037"/>
      <c r="AA1402" s="1037"/>
      <c r="AB1402" s="1037"/>
      <c r="AC1402" s="1037"/>
      <c r="AD1402" s="1037"/>
      <c r="AE1402" s="1037"/>
      <c r="AF1402" s="1037"/>
      <c r="AG1402" s="1037"/>
      <c r="AH1402" s="1037"/>
      <c r="AI1402" s="1037"/>
      <c r="AJ1402" s="1037"/>
      <c r="AK1402" s="1037"/>
      <c r="AL1402" s="1037"/>
      <c r="AM1402" s="1037"/>
      <c r="AN1402" s="1037"/>
      <c r="AO1402" s="1037"/>
      <c r="AP1402" s="1037"/>
    </row>
    <row r="1403" spans="1:42" s="226" customFormat="1">
      <c r="A1403" s="2060"/>
      <c r="B1403" s="1037"/>
      <c r="C1403" s="1037"/>
      <c r="D1403" s="1037"/>
      <c r="E1403" s="1037"/>
      <c r="F1403" s="1037"/>
      <c r="G1403" s="1037"/>
      <c r="H1403" s="1018"/>
      <c r="I1403" s="1037"/>
      <c r="J1403" s="1037"/>
      <c r="K1403" s="1037"/>
      <c r="L1403" s="1037"/>
      <c r="M1403" s="1037"/>
      <c r="N1403" s="1037"/>
      <c r="O1403" s="1037"/>
      <c r="P1403" s="1037"/>
      <c r="Q1403" s="1037"/>
      <c r="R1403" s="1037"/>
      <c r="S1403" s="1037"/>
      <c r="T1403" s="1037"/>
      <c r="U1403" s="1037"/>
      <c r="V1403" s="1037"/>
      <c r="W1403" s="1037"/>
      <c r="X1403" s="1037"/>
      <c r="Y1403" s="1037"/>
      <c r="Z1403" s="1037"/>
      <c r="AA1403" s="1037"/>
      <c r="AB1403" s="1037"/>
      <c r="AC1403" s="1037"/>
      <c r="AD1403" s="1037"/>
      <c r="AE1403" s="1037"/>
      <c r="AF1403" s="1037"/>
      <c r="AG1403" s="1037"/>
      <c r="AH1403" s="1037"/>
      <c r="AI1403" s="1037"/>
      <c r="AJ1403" s="1037"/>
      <c r="AK1403" s="1037"/>
      <c r="AL1403" s="1037"/>
      <c r="AM1403" s="1037"/>
      <c r="AN1403" s="1037"/>
      <c r="AO1403" s="1037"/>
      <c r="AP1403" s="1037"/>
    </row>
    <row r="1404" spans="1:42" s="226" customFormat="1">
      <c r="A1404" s="2060"/>
      <c r="B1404" s="1037"/>
      <c r="C1404" s="1037"/>
      <c r="D1404" s="1037"/>
      <c r="E1404" s="1037"/>
      <c r="F1404" s="1037"/>
      <c r="G1404" s="1037"/>
      <c r="H1404" s="1018"/>
      <c r="I1404" s="1037"/>
      <c r="J1404" s="1037"/>
      <c r="K1404" s="1037"/>
      <c r="L1404" s="1037"/>
      <c r="M1404" s="1037"/>
      <c r="N1404" s="1037"/>
      <c r="O1404" s="1037"/>
      <c r="P1404" s="1037"/>
      <c r="Q1404" s="1037"/>
      <c r="R1404" s="1037"/>
      <c r="S1404" s="1037"/>
      <c r="T1404" s="1037"/>
      <c r="U1404" s="1037"/>
      <c r="V1404" s="1037"/>
      <c r="W1404" s="1037"/>
      <c r="X1404" s="1037"/>
      <c r="Y1404" s="1037"/>
      <c r="Z1404" s="1037"/>
      <c r="AA1404" s="1037"/>
      <c r="AB1404" s="1037"/>
      <c r="AC1404" s="1037"/>
      <c r="AD1404" s="1037"/>
      <c r="AE1404" s="1037"/>
      <c r="AF1404" s="1037"/>
      <c r="AG1404" s="1037"/>
      <c r="AH1404" s="1037"/>
      <c r="AI1404" s="1037"/>
      <c r="AJ1404" s="1037"/>
      <c r="AK1404" s="1037"/>
      <c r="AL1404" s="1037"/>
      <c r="AM1404" s="1037"/>
      <c r="AN1404" s="1037"/>
      <c r="AO1404" s="1037"/>
      <c r="AP1404" s="1037"/>
    </row>
    <row r="1405" spans="1:42" s="226" customFormat="1">
      <c r="A1405" s="2060"/>
      <c r="B1405" s="1037"/>
      <c r="C1405" s="1037"/>
      <c r="D1405" s="1037"/>
      <c r="E1405" s="1037"/>
      <c r="F1405" s="1037"/>
      <c r="G1405" s="1037"/>
      <c r="H1405" s="1018"/>
      <c r="I1405" s="1037"/>
      <c r="J1405" s="1037"/>
      <c r="K1405" s="1037"/>
      <c r="L1405" s="1037"/>
      <c r="M1405" s="1037"/>
      <c r="N1405" s="1037"/>
      <c r="O1405" s="1037"/>
      <c r="P1405" s="1037"/>
      <c r="Q1405" s="1037"/>
      <c r="R1405" s="1037"/>
      <c r="S1405" s="1037"/>
      <c r="T1405" s="1037"/>
      <c r="U1405" s="1037"/>
      <c r="V1405" s="1037"/>
      <c r="W1405" s="1037"/>
      <c r="X1405" s="1037"/>
      <c r="Y1405" s="1037"/>
      <c r="Z1405" s="1037"/>
      <c r="AA1405" s="1037"/>
      <c r="AB1405" s="1037"/>
      <c r="AC1405" s="1037"/>
      <c r="AD1405" s="1037"/>
      <c r="AE1405" s="1037"/>
      <c r="AF1405" s="1037"/>
      <c r="AG1405" s="1037"/>
      <c r="AH1405" s="1037"/>
      <c r="AI1405" s="1037"/>
      <c r="AJ1405" s="1037"/>
      <c r="AK1405" s="1037"/>
      <c r="AL1405" s="1037"/>
      <c r="AM1405" s="1037"/>
      <c r="AN1405" s="1037"/>
      <c r="AO1405" s="1037"/>
      <c r="AP1405" s="1037"/>
    </row>
    <row r="1406" spans="1:42" s="226" customFormat="1">
      <c r="A1406" s="2060"/>
      <c r="B1406" s="1037"/>
      <c r="C1406" s="1037"/>
      <c r="D1406" s="1037"/>
      <c r="E1406" s="1037"/>
      <c r="F1406" s="1037"/>
      <c r="G1406" s="1037"/>
      <c r="H1406" s="1018"/>
      <c r="I1406" s="1037"/>
      <c r="J1406" s="1037"/>
      <c r="K1406" s="1037"/>
      <c r="L1406" s="1037"/>
      <c r="M1406" s="1037"/>
      <c r="N1406" s="1037"/>
      <c r="O1406" s="1037"/>
      <c r="P1406" s="1037"/>
      <c r="Q1406" s="1037"/>
      <c r="R1406" s="1037"/>
      <c r="S1406" s="1037"/>
      <c r="T1406" s="1037"/>
      <c r="U1406" s="1037"/>
      <c r="V1406" s="1037"/>
      <c r="W1406" s="1037"/>
      <c r="X1406" s="1037"/>
      <c r="Y1406" s="1037"/>
      <c r="Z1406" s="1037"/>
      <c r="AA1406" s="1037"/>
      <c r="AB1406" s="1037"/>
      <c r="AC1406" s="1037"/>
      <c r="AD1406" s="1037"/>
      <c r="AE1406" s="1037"/>
      <c r="AF1406" s="1037"/>
      <c r="AG1406" s="1037"/>
      <c r="AH1406" s="1037"/>
      <c r="AI1406" s="1037"/>
      <c r="AJ1406" s="1037"/>
      <c r="AK1406" s="1037"/>
      <c r="AL1406" s="1037"/>
      <c r="AM1406" s="1037"/>
      <c r="AN1406" s="1037"/>
      <c r="AO1406" s="1037"/>
      <c r="AP1406" s="1037"/>
    </row>
    <row r="1407" spans="1:42" s="226" customFormat="1">
      <c r="A1407" s="2060"/>
      <c r="B1407" s="1037"/>
      <c r="C1407" s="1037"/>
      <c r="D1407" s="1037"/>
      <c r="E1407" s="1037"/>
      <c r="F1407" s="1037"/>
      <c r="G1407" s="1037"/>
      <c r="H1407" s="1018"/>
      <c r="I1407" s="1037"/>
      <c r="J1407" s="1037"/>
      <c r="K1407" s="1037"/>
      <c r="L1407" s="1037"/>
      <c r="M1407" s="1037"/>
      <c r="N1407" s="1037"/>
      <c r="O1407" s="1037"/>
      <c r="P1407" s="1037"/>
      <c r="Q1407" s="1037"/>
      <c r="R1407" s="1037"/>
      <c r="S1407" s="1037"/>
      <c r="T1407" s="1037"/>
      <c r="U1407" s="1037"/>
      <c r="V1407" s="1037"/>
      <c r="W1407" s="1037"/>
      <c r="X1407" s="1037"/>
      <c r="Y1407" s="1037"/>
      <c r="Z1407" s="1037"/>
      <c r="AA1407" s="1037"/>
      <c r="AB1407" s="1037"/>
      <c r="AC1407" s="1037"/>
      <c r="AD1407" s="1037"/>
      <c r="AE1407" s="1037"/>
      <c r="AF1407" s="1037"/>
      <c r="AG1407" s="1037"/>
      <c r="AH1407" s="1037"/>
      <c r="AI1407" s="1037"/>
      <c r="AJ1407" s="1037"/>
      <c r="AK1407" s="1037"/>
      <c r="AL1407" s="1037"/>
      <c r="AM1407" s="1037"/>
      <c r="AN1407" s="1037"/>
      <c r="AO1407" s="1037"/>
      <c r="AP1407" s="1037"/>
    </row>
    <row r="1408" spans="1:42" s="226" customFormat="1">
      <c r="A1408" s="2060"/>
      <c r="B1408" s="1037"/>
      <c r="C1408" s="1037"/>
      <c r="D1408" s="1037"/>
      <c r="E1408" s="1037"/>
      <c r="F1408" s="1037"/>
      <c r="G1408" s="1037"/>
      <c r="H1408" s="1018"/>
      <c r="I1408" s="1037"/>
      <c r="J1408" s="1037"/>
      <c r="K1408" s="1037"/>
      <c r="L1408" s="1037"/>
      <c r="M1408" s="1037"/>
      <c r="N1408" s="1037"/>
      <c r="O1408" s="1037"/>
      <c r="P1408" s="1037"/>
      <c r="Q1408" s="1037"/>
      <c r="R1408" s="1037"/>
      <c r="S1408" s="1037"/>
      <c r="T1408" s="1037"/>
      <c r="U1408" s="1037"/>
      <c r="V1408" s="1037"/>
      <c r="W1408" s="1037"/>
      <c r="X1408" s="1037"/>
      <c r="Y1408" s="1037"/>
      <c r="Z1408" s="1037"/>
      <c r="AA1408" s="1037"/>
      <c r="AB1408" s="1037"/>
      <c r="AC1408" s="1037"/>
      <c r="AD1408" s="1037"/>
      <c r="AE1408" s="1037"/>
      <c r="AF1408" s="1037"/>
      <c r="AG1408" s="1037"/>
      <c r="AH1408" s="1037"/>
      <c r="AI1408" s="1037"/>
      <c r="AJ1408" s="1037"/>
      <c r="AK1408" s="1037"/>
      <c r="AL1408" s="1037"/>
      <c r="AM1408" s="1037"/>
      <c r="AN1408" s="1037"/>
      <c r="AO1408" s="1037"/>
      <c r="AP1408" s="1037"/>
    </row>
    <row r="1409" spans="1:42" s="226" customFormat="1">
      <c r="A1409" s="2060"/>
      <c r="B1409" s="1037"/>
      <c r="C1409" s="1037"/>
      <c r="D1409" s="1037"/>
      <c r="E1409" s="1037"/>
      <c r="F1409" s="1037"/>
      <c r="G1409" s="1037"/>
      <c r="H1409" s="1018"/>
      <c r="I1409" s="1037"/>
      <c r="J1409" s="1037"/>
      <c r="K1409" s="1037"/>
      <c r="L1409" s="1037"/>
      <c r="M1409" s="1037"/>
      <c r="N1409" s="1037"/>
      <c r="O1409" s="1037"/>
      <c r="P1409" s="1037"/>
      <c r="Q1409" s="1037"/>
      <c r="R1409" s="1037"/>
      <c r="S1409" s="1037"/>
      <c r="T1409" s="1037"/>
      <c r="U1409" s="1037"/>
      <c r="V1409" s="1037"/>
      <c r="W1409" s="1037"/>
      <c r="X1409" s="1037"/>
      <c r="Y1409" s="1037"/>
      <c r="Z1409" s="1037"/>
      <c r="AA1409" s="1037"/>
      <c r="AB1409" s="1037"/>
      <c r="AC1409" s="1037"/>
      <c r="AD1409" s="1037"/>
      <c r="AE1409" s="1037"/>
      <c r="AF1409" s="1037"/>
      <c r="AG1409" s="1037"/>
      <c r="AH1409" s="1037"/>
      <c r="AI1409" s="1037"/>
      <c r="AJ1409" s="1037"/>
      <c r="AK1409" s="1037"/>
      <c r="AL1409" s="1037"/>
      <c r="AM1409" s="1037"/>
      <c r="AN1409" s="1037"/>
      <c r="AO1409" s="1037"/>
      <c r="AP1409" s="1037"/>
    </row>
    <row r="1410" spans="1:42" s="226" customFormat="1">
      <c r="A1410" s="2060"/>
      <c r="B1410" s="1037"/>
      <c r="C1410" s="1037"/>
      <c r="D1410" s="1037"/>
      <c r="E1410" s="1037"/>
      <c r="F1410" s="1037"/>
      <c r="G1410" s="1037"/>
      <c r="H1410" s="1018"/>
      <c r="I1410" s="1037"/>
      <c r="J1410" s="1037"/>
      <c r="K1410" s="1037"/>
      <c r="L1410" s="1037"/>
      <c r="M1410" s="1037"/>
      <c r="N1410" s="1037"/>
      <c r="O1410" s="1037"/>
      <c r="P1410" s="1037"/>
      <c r="Q1410" s="1037"/>
      <c r="R1410" s="1037"/>
      <c r="S1410" s="1037"/>
      <c r="T1410" s="1037"/>
      <c r="U1410" s="1037"/>
      <c r="V1410" s="1037"/>
      <c r="W1410" s="1037"/>
      <c r="X1410" s="1037"/>
      <c r="Y1410" s="1037"/>
      <c r="Z1410" s="1037"/>
      <c r="AA1410" s="1037"/>
      <c r="AB1410" s="1037"/>
      <c r="AC1410" s="1037"/>
      <c r="AD1410" s="1037"/>
      <c r="AE1410" s="1037"/>
      <c r="AF1410" s="1037"/>
      <c r="AG1410" s="1037"/>
      <c r="AH1410" s="1037"/>
      <c r="AI1410" s="1037"/>
      <c r="AJ1410" s="1037"/>
      <c r="AK1410" s="1037"/>
      <c r="AL1410" s="1037"/>
      <c r="AM1410" s="1037"/>
      <c r="AN1410" s="1037"/>
      <c r="AO1410" s="1037"/>
      <c r="AP1410" s="1037"/>
    </row>
    <row r="1411" spans="1:42" s="226" customFormat="1">
      <c r="A1411" s="2060"/>
      <c r="B1411" s="1037"/>
      <c r="C1411" s="1037"/>
      <c r="D1411" s="1037"/>
      <c r="E1411" s="1037"/>
      <c r="F1411" s="1037"/>
      <c r="G1411" s="1037"/>
      <c r="H1411" s="1018"/>
      <c r="I1411" s="1037"/>
      <c r="J1411" s="1037"/>
      <c r="K1411" s="1037"/>
      <c r="L1411" s="1037"/>
      <c r="M1411" s="1037"/>
      <c r="N1411" s="1037"/>
      <c r="O1411" s="1037"/>
      <c r="P1411" s="1037"/>
      <c r="Q1411" s="1037"/>
      <c r="R1411" s="1037"/>
      <c r="S1411" s="1037"/>
      <c r="T1411" s="1037"/>
      <c r="U1411" s="1037"/>
      <c r="V1411" s="1037"/>
      <c r="W1411" s="1037"/>
      <c r="X1411" s="1037"/>
      <c r="Y1411" s="1037"/>
      <c r="Z1411" s="1037"/>
      <c r="AA1411" s="1037"/>
      <c r="AB1411" s="1037"/>
      <c r="AC1411" s="1037"/>
      <c r="AD1411" s="1037"/>
      <c r="AE1411" s="1037"/>
      <c r="AF1411" s="1037"/>
      <c r="AG1411" s="1037"/>
      <c r="AH1411" s="1037"/>
      <c r="AI1411" s="1037"/>
      <c r="AJ1411" s="1037"/>
      <c r="AK1411" s="1037"/>
      <c r="AL1411" s="1037"/>
      <c r="AM1411" s="1037"/>
      <c r="AN1411" s="1037"/>
      <c r="AO1411" s="1037"/>
      <c r="AP1411" s="1037"/>
    </row>
    <row r="1412" spans="1:42" s="226" customFormat="1">
      <c r="A1412" s="2060"/>
      <c r="B1412" s="1037"/>
      <c r="C1412" s="1037"/>
      <c r="D1412" s="1037"/>
      <c r="E1412" s="1037"/>
      <c r="F1412" s="1037"/>
      <c r="G1412" s="1037"/>
      <c r="H1412" s="1018"/>
      <c r="I1412" s="1037"/>
      <c r="J1412" s="1037"/>
      <c r="K1412" s="1037"/>
      <c r="L1412" s="1037"/>
      <c r="M1412" s="1037"/>
      <c r="N1412" s="1037"/>
      <c r="O1412" s="1037"/>
      <c r="P1412" s="1037"/>
      <c r="Q1412" s="1037"/>
      <c r="R1412" s="1037"/>
      <c r="S1412" s="1037"/>
      <c r="T1412" s="1037"/>
      <c r="U1412" s="1037"/>
      <c r="V1412" s="1037"/>
      <c r="W1412" s="1037"/>
      <c r="X1412" s="1037"/>
      <c r="Y1412" s="1037"/>
      <c r="Z1412" s="1037"/>
      <c r="AA1412" s="1037"/>
      <c r="AB1412" s="1037"/>
      <c r="AC1412" s="1037"/>
      <c r="AD1412" s="1037"/>
      <c r="AE1412" s="1037"/>
      <c r="AF1412" s="1037"/>
      <c r="AG1412" s="1037"/>
      <c r="AH1412" s="1037"/>
      <c r="AI1412" s="1037"/>
      <c r="AJ1412" s="1037"/>
      <c r="AK1412" s="1037"/>
      <c r="AL1412" s="1037"/>
      <c r="AM1412" s="1037"/>
      <c r="AN1412" s="1037"/>
      <c r="AO1412" s="1037"/>
      <c r="AP1412" s="1037"/>
    </row>
    <row r="1413" spans="1:42" s="226" customFormat="1">
      <c r="A1413" s="2060"/>
      <c r="B1413" s="1037"/>
      <c r="C1413" s="1037"/>
      <c r="D1413" s="1037"/>
      <c r="E1413" s="1037"/>
      <c r="F1413" s="1037"/>
      <c r="G1413" s="1037"/>
      <c r="H1413" s="1018"/>
      <c r="I1413" s="1037"/>
      <c r="J1413" s="1037"/>
      <c r="K1413" s="1037"/>
      <c r="L1413" s="1037"/>
      <c r="M1413" s="1037"/>
      <c r="N1413" s="1037"/>
      <c r="O1413" s="1037"/>
      <c r="P1413" s="1037"/>
      <c r="Q1413" s="1037"/>
      <c r="R1413" s="1037"/>
      <c r="S1413" s="1037"/>
      <c r="T1413" s="1037"/>
      <c r="U1413" s="1037"/>
      <c r="V1413" s="1037"/>
      <c r="W1413" s="1037"/>
      <c r="X1413" s="1037"/>
      <c r="Y1413" s="1037"/>
      <c r="Z1413" s="1037"/>
      <c r="AA1413" s="1037"/>
      <c r="AB1413" s="1037"/>
      <c r="AC1413" s="1037"/>
      <c r="AD1413" s="1037"/>
      <c r="AE1413" s="1037"/>
      <c r="AF1413" s="1037"/>
      <c r="AG1413" s="1037"/>
      <c r="AH1413" s="1037"/>
      <c r="AI1413" s="1037"/>
      <c r="AJ1413" s="1037"/>
      <c r="AK1413" s="1037"/>
      <c r="AL1413" s="1037"/>
      <c r="AM1413" s="1037"/>
      <c r="AN1413" s="1037"/>
      <c r="AO1413" s="1037"/>
      <c r="AP1413" s="1037"/>
    </row>
    <row r="1414" spans="1:42" s="226" customFormat="1">
      <c r="A1414" s="2060"/>
      <c r="B1414" s="1037"/>
      <c r="C1414" s="1037"/>
      <c r="D1414" s="1037"/>
      <c r="E1414" s="1037"/>
      <c r="F1414" s="1037"/>
      <c r="G1414" s="1037"/>
      <c r="H1414" s="1018"/>
      <c r="I1414" s="1037"/>
      <c r="J1414" s="1037"/>
      <c r="K1414" s="1037"/>
      <c r="L1414" s="1037"/>
      <c r="M1414" s="1037"/>
      <c r="N1414" s="1037"/>
      <c r="O1414" s="1037"/>
      <c r="P1414" s="1037"/>
      <c r="Q1414" s="1037"/>
      <c r="R1414" s="1037"/>
      <c r="S1414" s="1037"/>
      <c r="T1414" s="1037"/>
      <c r="U1414" s="1037"/>
      <c r="V1414" s="1037"/>
      <c r="W1414" s="1037"/>
      <c r="X1414" s="1037"/>
      <c r="Y1414" s="1037"/>
      <c r="Z1414" s="1037"/>
      <c r="AA1414" s="1037"/>
      <c r="AB1414" s="1037"/>
      <c r="AC1414" s="1037"/>
      <c r="AD1414" s="1037"/>
      <c r="AE1414" s="1037"/>
      <c r="AF1414" s="1037"/>
      <c r="AG1414" s="1037"/>
      <c r="AH1414" s="1037"/>
      <c r="AI1414" s="1037"/>
      <c r="AJ1414" s="1037"/>
      <c r="AK1414" s="1037"/>
      <c r="AL1414" s="1037"/>
      <c r="AM1414" s="1037"/>
      <c r="AN1414" s="1037"/>
      <c r="AO1414" s="1037"/>
      <c r="AP1414" s="1037"/>
    </row>
    <row r="1415" spans="1:42" s="226" customFormat="1">
      <c r="A1415" s="2060"/>
      <c r="B1415" s="1037"/>
      <c r="C1415" s="1037"/>
      <c r="D1415" s="1037"/>
      <c r="E1415" s="1037"/>
      <c r="F1415" s="1037"/>
      <c r="G1415" s="1037"/>
      <c r="H1415" s="1018"/>
      <c r="I1415" s="1037"/>
      <c r="J1415" s="1037"/>
      <c r="K1415" s="1037"/>
      <c r="L1415" s="1037"/>
      <c r="M1415" s="1037"/>
      <c r="N1415" s="1037"/>
      <c r="O1415" s="1037"/>
      <c r="P1415" s="1037"/>
      <c r="Q1415" s="1037"/>
      <c r="R1415" s="1037"/>
      <c r="S1415" s="1037"/>
      <c r="T1415" s="1037"/>
      <c r="U1415" s="1037"/>
      <c r="V1415" s="1037"/>
      <c r="W1415" s="1037"/>
      <c r="X1415" s="1037"/>
      <c r="Y1415" s="1037"/>
      <c r="Z1415" s="1037"/>
      <c r="AA1415" s="1037"/>
      <c r="AB1415" s="1037"/>
      <c r="AC1415" s="1037"/>
      <c r="AD1415" s="1037"/>
      <c r="AE1415" s="1037"/>
      <c r="AF1415" s="1037"/>
      <c r="AG1415" s="1037"/>
      <c r="AH1415" s="1037"/>
      <c r="AI1415" s="1037"/>
      <c r="AJ1415" s="1037"/>
      <c r="AK1415" s="1037"/>
      <c r="AL1415" s="1037"/>
      <c r="AM1415" s="1037"/>
      <c r="AN1415" s="1037"/>
      <c r="AO1415" s="1037"/>
      <c r="AP1415" s="1037"/>
    </row>
    <row r="1416" spans="1:42" s="226" customFormat="1">
      <c r="A1416" s="2060"/>
      <c r="B1416" s="1037"/>
      <c r="C1416" s="1037"/>
      <c r="D1416" s="1037"/>
      <c r="E1416" s="1037"/>
      <c r="F1416" s="1037"/>
      <c r="G1416" s="1037"/>
      <c r="H1416" s="1018"/>
      <c r="I1416" s="1037"/>
      <c r="J1416" s="1037"/>
      <c r="K1416" s="1037"/>
      <c r="L1416" s="1037"/>
      <c r="M1416" s="1037"/>
      <c r="N1416" s="1037"/>
      <c r="O1416" s="1037"/>
      <c r="P1416" s="1037"/>
      <c r="Q1416" s="1037"/>
      <c r="R1416" s="1037"/>
      <c r="S1416" s="1037"/>
      <c r="T1416" s="1037"/>
      <c r="U1416" s="1037"/>
      <c r="V1416" s="1037"/>
      <c r="W1416" s="1037"/>
      <c r="X1416" s="1037"/>
      <c r="Y1416" s="1037"/>
      <c r="Z1416" s="1037"/>
      <c r="AA1416" s="1037"/>
      <c r="AB1416" s="1037"/>
      <c r="AC1416" s="1037"/>
      <c r="AD1416" s="1037"/>
      <c r="AE1416" s="1037"/>
      <c r="AF1416" s="1037"/>
      <c r="AG1416" s="1037"/>
      <c r="AH1416" s="1037"/>
      <c r="AI1416" s="1037"/>
      <c r="AJ1416" s="1037"/>
      <c r="AK1416" s="1037"/>
      <c r="AL1416" s="1037"/>
      <c r="AM1416" s="1037"/>
      <c r="AN1416" s="1037"/>
      <c r="AO1416" s="1037"/>
      <c r="AP1416" s="1037"/>
    </row>
    <row r="1417" spans="1:42" s="226" customFormat="1">
      <c r="A1417" s="2060"/>
      <c r="B1417" s="1037"/>
      <c r="C1417" s="1037"/>
      <c r="D1417" s="1037"/>
      <c r="E1417" s="1037"/>
      <c r="F1417" s="1037"/>
      <c r="G1417" s="1037"/>
      <c r="H1417" s="1018"/>
      <c r="I1417" s="1037"/>
      <c r="J1417" s="1037"/>
      <c r="K1417" s="1037"/>
      <c r="L1417" s="1037"/>
      <c r="M1417" s="1037"/>
      <c r="N1417" s="1037"/>
      <c r="O1417" s="1037"/>
      <c r="P1417" s="1037"/>
      <c r="Q1417" s="1037"/>
      <c r="R1417" s="1037"/>
      <c r="S1417" s="1037"/>
      <c r="T1417" s="1037"/>
      <c r="U1417" s="1037"/>
      <c r="V1417" s="1037"/>
      <c r="W1417" s="1037"/>
      <c r="X1417" s="1037"/>
      <c r="Y1417" s="1037"/>
      <c r="Z1417" s="1037"/>
      <c r="AA1417" s="1037"/>
      <c r="AB1417" s="1037"/>
      <c r="AC1417" s="1037"/>
      <c r="AD1417" s="1037"/>
      <c r="AE1417" s="1037"/>
      <c r="AF1417" s="1037"/>
      <c r="AG1417" s="1037"/>
      <c r="AH1417" s="1037"/>
      <c r="AI1417" s="1037"/>
      <c r="AJ1417" s="1037"/>
      <c r="AK1417" s="1037"/>
      <c r="AL1417" s="1037"/>
      <c r="AM1417" s="1037"/>
      <c r="AN1417" s="1037"/>
      <c r="AO1417" s="1037"/>
      <c r="AP1417" s="1037"/>
    </row>
    <row r="1418" spans="1:42" s="226" customFormat="1">
      <c r="A1418" s="2060"/>
      <c r="B1418" s="1037"/>
      <c r="C1418" s="1037"/>
      <c r="D1418" s="1037"/>
      <c r="E1418" s="1037"/>
      <c r="F1418" s="1037"/>
      <c r="G1418" s="1037"/>
      <c r="H1418" s="1018"/>
      <c r="I1418" s="1037"/>
      <c r="J1418" s="1037"/>
      <c r="K1418" s="1037"/>
      <c r="L1418" s="1037"/>
      <c r="M1418" s="1037"/>
      <c r="N1418" s="1037"/>
      <c r="O1418" s="1037"/>
      <c r="P1418" s="1037"/>
      <c r="Q1418" s="1037"/>
      <c r="R1418" s="1037"/>
      <c r="S1418" s="1037"/>
      <c r="T1418" s="1037"/>
      <c r="U1418" s="1037"/>
      <c r="V1418" s="1037"/>
      <c r="W1418" s="1037"/>
      <c r="X1418" s="1037"/>
      <c r="Y1418" s="1037"/>
      <c r="Z1418" s="1037"/>
      <c r="AA1418" s="1037"/>
      <c r="AB1418" s="1037"/>
      <c r="AC1418" s="1037"/>
      <c r="AD1418" s="1037"/>
      <c r="AE1418" s="1037"/>
      <c r="AF1418" s="1037"/>
      <c r="AG1418" s="1037"/>
      <c r="AH1418" s="1037"/>
      <c r="AI1418" s="1037"/>
      <c r="AJ1418" s="1037"/>
      <c r="AK1418" s="1037"/>
      <c r="AL1418" s="1037"/>
      <c r="AM1418" s="1037"/>
      <c r="AN1418" s="1037"/>
      <c r="AO1418" s="1037"/>
      <c r="AP1418" s="1037"/>
    </row>
    <row r="1419" spans="1:42" s="226" customFormat="1">
      <c r="A1419" s="2060"/>
      <c r="B1419" s="1037"/>
      <c r="C1419" s="1037"/>
      <c r="D1419" s="1037"/>
      <c r="E1419" s="1037"/>
      <c r="F1419" s="1037"/>
      <c r="G1419" s="1037"/>
      <c r="H1419" s="1018"/>
      <c r="I1419" s="1037"/>
      <c r="J1419" s="1037"/>
      <c r="K1419" s="1037"/>
      <c r="L1419" s="1037"/>
      <c r="M1419" s="1037"/>
      <c r="N1419" s="1037"/>
      <c r="O1419" s="1037"/>
      <c r="P1419" s="1037"/>
      <c r="Q1419" s="1037"/>
      <c r="R1419" s="1037"/>
      <c r="S1419" s="1037"/>
      <c r="T1419" s="1037"/>
      <c r="U1419" s="1037"/>
      <c r="V1419" s="1037"/>
      <c r="W1419" s="1037"/>
      <c r="X1419" s="1037"/>
      <c r="Y1419" s="1037"/>
      <c r="Z1419" s="1037"/>
      <c r="AA1419" s="1037"/>
      <c r="AB1419" s="1037"/>
      <c r="AC1419" s="1037"/>
      <c r="AD1419" s="1037"/>
      <c r="AE1419" s="1037"/>
      <c r="AF1419" s="1037"/>
      <c r="AG1419" s="1037"/>
      <c r="AH1419" s="1037"/>
      <c r="AI1419" s="1037"/>
      <c r="AJ1419" s="1037"/>
      <c r="AK1419" s="1037"/>
      <c r="AL1419" s="1037"/>
      <c r="AM1419" s="1037"/>
      <c r="AN1419" s="1037"/>
      <c r="AO1419" s="1037"/>
      <c r="AP1419" s="1037"/>
    </row>
    <row r="1420" spans="1:42" s="226" customFormat="1">
      <c r="A1420" s="2060"/>
      <c r="B1420" s="1037"/>
      <c r="C1420" s="1037"/>
      <c r="D1420" s="1037"/>
      <c r="E1420" s="1037"/>
      <c r="F1420" s="1037"/>
      <c r="G1420" s="1037"/>
      <c r="H1420" s="1018"/>
      <c r="I1420" s="1037"/>
      <c r="J1420" s="1037"/>
      <c r="K1420" s="1037"/>
      <c r="L1420" s="1037"/>
      <c r="M1420" s="1037"/>
      <c r="N1420" s="1037"/>
      <c r="O1420" s="1037"/>
      <c r="P1420" s="1037"/>
      <c r="Q1420" s="1037"/>
      <c r="R1420" s="1037"/>
      <c r="S1420" s="1037"/>
      <c r="T1420" s="1037"/>
      <c r="U1420" s="1037"/>
      <c r="V1420" s="1037"/>
      <c r="W1420" s="1037"/>
      <c r="X1420" s="1037"/>
      <c r="Y1420" s="1037"/>
      <c r="Z1420" s="1037"/>
      <c r="AA1420" s="1037"/>
      <c r="AB1420" s="1037"/>
      <c r="AC1420" s="1037"/>
      <c r="AD1420" s="1037"/>
      <c r="AE1420" s="1037"/>
      <c r="AF1420" s="1037"/>
      <c r="AG1420" s="1037"/>
      <c r="AH1420" s="1037"/>
      <c r="AI1420" s="1037"/>
      <c r="AJ1420" s="1037"/>
      <c r="AK1420" s="1037"/>
      <c r="AL1420" s="1037"/>
      <c r="AM1420" s="1037"/>
      <c r="AN1420" s="1037"/>
      <c r="AO1420" s="1037"/>
      <c r="AP1420" s="1037"/>
    </row>
    <row r="1421" spans="1:42" s="226" customFormat="1">
      <c r="A1421" s="2060"/>
      <c r="B1421" s="1037"/>
      <c r="C1421" s="1037"/>
      <c r="D1421" s="1037"/>
      <c r="E1421" s="1037"/>
      <c r="F1421" s="1037"/>
      <c r="G1421" s="1037"/>
      <c r="H1421" s="1018"/>
      <c r="I1421" s="1037"/>
      <c r="J1421" s="1037"/>
      <c r="K1421" s="1037"/>
      <c r="L1421" s="1037"/>
      <c r="M1421" s="1037"/>
      <c r="N1421" s="1037"/>
      <c r="O1421" s="1037"/>
      <c r="P1421" s="1037"/>
      <c r="Q1421" s="1037"/>
      <c r="R1421" s="1037"/>
      <c r="S1421" s="1037"/>
      <c r="T1421" s="1037"/>
      <c r="U1421" s="1037"/>
      <c r="V1421" s="1037"/>
      <c r="W1421" s="1037"/>
      <c r="X1421" s="1037"/>
      <c r="Y1421" s="1037"/>
      <c r="Z1421" s="1037"/>
      <c r="AA1421" s="1037"/>
      <c r="AB1421" s="1037"/>
      <c r="AC1421" s="1037"/>
      <c r="AD1421" s="1037"/>
      <c r="AE1421" s="1037"/>
      <c r="AF1421" s="1037"/>
      <c r="AG1421" s="1037"/>
      <c r="AH1421" s="1037"/>
      <c r="AI1421" s="1037"/>
      <c r="AJ1421" s="1037"/>
      <c r="AK1421" s="1037"/>
      <c r="AL1421" s="1037"/>
      <c r="AM1421" s="1037"/>
      <c r="AN1421" s="1037"/>
      <c r="AO1421" s="1037"/>
      <c r="AP1421" s="1037"/>
    </row>
    <row r="1422" spans="1:42" s="226" customFormat="1">
      <c r="A1422" s="2060"/>
      <c r="B1422" s="1037"/>
      <c r="C1422" s="1037"/>
      <c r="D1422" s="1037"/>
      <c r="E1422" s="1037"/>
      <c r="F1422" s="1037"/>
      <c r="G1422" s="1037"/>
      <c r="H1422" s="1018"/>
      <c r="I1422" s="1037"/>
      <c r="J1422" s="1037"/>
      <c r="K1422" s="1037"/>
      <c r="L1422" s="1037"/>
      <c r="M1422" s="1037"/>
      <c r="N1422" s="1037"/>
      <c r="O1422" s="1037"/>
      <c r="P1422" s="1037"/>
      <c r="Q1422" s="1037"/>
      <c r="R1422" s="1037"/>
      <c r="S1422" s="1037"/>
      <c r="T1422" s="1037"/>
      <c r="U1422" s="1037"/>
      <c r="V1422" s="1037"/>
      <c r="W1422" s="1037"/>
      <c r="X1422" s="1037"/>
      <c r="Y1422" s="1037"/>
      <c r="Z1422" s="1037"/>
      <c r="AA1422" s="1037"/>
      <c r="AB1422" s="1037"/>
      <c r="AC1422" s="1037"/>
      <c r="AD1422" s="1037"/>
      <c r="AE1422" s="1037"/>
      <c r="AF1422" s="1037"/>
      <c r="AG1422" s="1037"/>
      <c r="AH1422" s="1037"/>
      <c r="AI1422" s="1037"/>
      <c r="AJ1422" s="1037"/>
      <c r="AK1422" s="1037"/>
      <c r="AL1422" s="1037"/>
      <c r="AM1422" s="1037"/>
      <c r="AN1422" s="1037"/>
      <c r="AO1422" s="1037"/>
      <c r="AP1422" s="1037"/>
    </row>
    <row r="1423" spans="1:42" s="226" customFormat="1">
      <c r="A1423" s="2060"/>
      <c r="B1423" s="1037"/>
      <c r="C1423" s="1037"/>
      <c r="D1423" s="1037"/>
      <c r="E1423" s="1037"/>
      <c r="F1423" s="1037"/>
      <c r="G1423" s="1037"/>
      <c r="H1423" s="1018"/>
      <c r="I1423" s="1037"/>
      <c r="J1423" s="1037"/>
      <c r="K1423" s="1037"/>
      <c r="L1423" s="1037"/>
      <c r="M1423" s="1037"/>
      <c r="N1423" s="1037"/>
      <c r="O1423" s="1037"/>
      <c r="P1423" s="1037"/>
      <c r="Q1423" s="1037"/>
      <c r="R1423" s="1037"/>
      <c r="S1423" s="1037"/>
      <c r="T1423" s="1037"/>
      <c r="U1423" s="1037"/>
      <c r="V1423" s="1037"/>
      <c r="W1423" s="1037"/>
      <c r="X1423" s="1037"/>
      <c r="Y1423" s="1037"/>
      <c r="Z1423" s="1037"/>
      <c r="AA1423" s="1037"/>
      <c r="AB1423" s="1037"/>
      <c r="AC1423" s="1037"/>
      <c r="AD1423" s="1037"/>
      <c r="AE1423" s="1037"/>
      <c r="AF1423" s="1037"/>
      <c r="AG1423" s="1037"/>
      <c r="AH1423" s="1037"/>
      <c r="AI1423" s="1037"/>
      <c r="AJ1423" s="1037"/>
      <c r="AK1423" s="1037"/>
      <c r="AL1423" s="1037"/>
      <c r="AM1423" s="1037"/>
      <c r="AN1423" s="1037"/>
      <c r="AO1423" s="1037"/>
      <c r="AP1423" s="1037"/>
    </row>
    <row r="1424" spans="1:42" s="226" customFormat="1">
      <c r="A1424" s="2060"/>
      <c r="B1424" s="1037"/>
      <c r="C1424" s="1037"/>
      <c r="D1424" s="1037"/>
      <c r="E1424" s="1037"/>
      <c r="F1424" s="1037"/>
      <c r="G1424" s="1037"/>
      <c r="H1424" s="1018"/>
      <c r="I1424" s="1037"/>
      <c r="J1424" s="1037"/>
      <c r="K1424" s="1037"/>
      <c r="L1424" s="1037"/>
      <c r="M1424" s="1037"/>
      <c r="N1424" s="1037"/>
      <c r="O1424" s="1037"/>
      <c r="P1424" s="1037"/>
      <c r="Q1424" s="1037"/>
      <c r="R1424" s="1037"/>
      <c r="S1424" s="1037"/>
      <c r="T1424" s="1037"/>
      <c r="U1424" s="1037"/>
      <c r="V1424" s="1037"/>
      <c r="W1424" s="1037"/>
      <c r="X1424" s="1037"/>
      <c r="Y1424" s="1037"/>
      <c r="Z1424" s="1037"/>
      <c r="AA1424" s="1037"/>
      <c r="AB1424" s="1037"/>
      <c r="AC1424" s="1037"/>
      <c r="AD1424" s="1037"/>
      <c r="AE1424" s="1037"/>
      <c r="AF1424" s="1037"/>
      <c r="AG1424" s="1037"/>
      <c r="AH1424" s="1037"/>
      <c r="AI1424" s="1037"/>
      <c r="AJ1424" s="1037"/>
      <c r="AK1424" s="1037"/>
      <c r="AL1424" s="1037"/>
      <c r="AM1424" s="1037"/>
      <c r="AN1424" s="1037"/>
      <c r="AO1424" s="1037"/>
      <c r="AP1424" s="1037"/>
    </row>
    <row r="1425" spans="1:42" s="226" customFormat="1">
      <c r="A1425" s="2060"/>
      <c r="B1425" s="1037"/>
      <c r="C1425" s="1037"/>
      <c r="D1425" s="1037"/>
      <c r="E1425" s="1037"/>
      <c r="F1425" s="1037"/>
      <c r="G1425" s="1037"/>
      <c r="H1425" s="1018"/>
      <c r="I1425" s="1037"/>
      <c r="J1425" s="1037"/>
      <c r="K1425" s="1037"/>
      <c r="L1425" s="1037"/>
      <c r="M1425" s="1037"/>
      <c r="N1425" s="1037"/>
      <c r="O1425" s="1037"/>
      <c r="P1425" s="1037"/>
      <c r="Q1425" s="1037"/>
      <c r="R1425" s="1037"/>
      <c r="S1425" s="1037"/>
      <c r="T1425" s="1037"/>
      <c r="U1425" s="1037"/>
      <c r="V1425" s="1037"/>
      <c r="W1425" s="1037"/>
      <c r="X1425" s="1037"/>
      <c r="Y1425" s="1037"/>
      <c r="Z1425" s="1037"/>
      <c r="AA1425" s="1037"/>
      <c r="AB1425" s="1037"/>
      <c r="AC1425" s="1037"/>
      <c r="AD1425" s="1037"/>
      <c r="AE1425" s="1037"/>
      <c r="AF1425" s="1037"/>
      <c r="AG1425" s="1037"/>
      <c r="AH1425" s="1037"/>
      <c r="AI1425" s="1037"/>
      <c r="AJ1425" s="1037"/>
      <c r="AK1425" s="1037"/>
      <c r="AL1425" s="1037"/>
      <c r="AM1425" s="1037"/>
      <c r="AN1425" s="1037"/>
      <c r="AO1425" s="1037"/>
      <c r="AP1425" s="1037"/>
    </row>
    <row r="1426" spans="1:42" s="226" customFormat="1">
      <c r="A1426" s="2060"/>
      <c r="B1426" s="1037"/>
      <c r="C1426" s="1037"/>
      <c r="D1426" s="1037"/>
      <c r="E1426" s="1037"/>
      <c r="F1426" s="1037"/>
      <c r="G1426" s="1037"/>
      <c r="H1426" s="1018"/>
      <c r="I1426" s="1037"/>
      <c r="J1426" s="1037"/>
      <c r="K1426" s="1037"/>
      <c r="L1426" s="1037"/>
      <c r="M1426" s="1037"/>
      <c r="N1426" s="1037"/>
      <c r="O1426" s="1037"/>
      <c r="P1426" s="1037"/>
      <c r="Q1426" s="1037"/>
      <c r="R1426" s="1037"/>
      <c r="S1426" s="1037"/>
      <c r="T1426" s="1037"/>
      <c r="U1426" s="1037"/>
      <c r="V1426" s="1037"/>
      <c r="W1426" s="1037"/>
      <c r="X1426" s="1037"/>
      <c r="Y1426" s="1037"/>
      <c r="Z1426" s="1037"/>
      <c r="AA1426" s="1037"/>
      <c r="AB1426" s="1037"/>
      <c r="AC1426" s="1037"/>
      <c r="AD1426" s="1037"/>
      <c r="AE1426" s="1037"/>
      <c r="AF1426" s="1037"/>
      <c r="AG1426" s="1037"/>
      <c r="AH1426" s="1037"/>
      <c r="AI1426" s="1037"/>
      <c r="AJ1426" s="1037"/>
      <c r="AK1426" s="1037"/>
      <c r="AL1426" s="1037"/>
      <c r="AM1426" s="1037"/>
      <c r="AN1426" s="1037"/>
      <c r="AO1426" s="1037"/>
      <c r="AP1426" s="1037"/>
    </row>
    <row r="1427" spans="1:42" s="226" customFormat="1">
      <c r="A1427" s="2060"/>
      <c r="B1427" s="1037"/>
      <c r="C1427" s="1037"/>
      <c r="D1427" s="1037"/>
      <c r="E1427" s="1037"/>
      <c r="F1427" s="1037"/>
      <c r="G1427" s="1037"/>
      <c r="H1427" s="1018"/>
      <c r="I1427" s="1037"/>
      <c r="J1427" s="1037"/>
      <c r="K1427" s="1037"/>
      <c r="L1427" s="1037"/>
      <c r="M1427" s="1037"/>
      <c r="N1427" s="1037"/>
      <c r="O1427" s="1037"/>
      <c r="P1427" s="1037"/>
      <c r="Q1427" s="1037"/>
      <c r="R1427" s="1037"/>
      <c r="S1427" s="1037"/>
      <c r="T1427" s="1037"/>
      <c r="U1427" s="1037"/>
      <c r="V1427" s="1037"/>
      <c r="W1427" s="1037"/>
      <c r="X1427" s="1037"/>
      <c r="Y1427" s="1037"/>
      <c r="Z1427" s="1037"/>
      <c r="AA1427" s="1037"/>
      <c r="AB1427" s="1037"/>
      <c r="AC1427" s="1037"/>
      <c r="AD1427" s="1037"/>
      <c r="AE1427" s="1037"/>
      <c r="AF1427" s="1037"/>
      <c r="AG1427" s="1037"/>
      <c r="AH1427" s="1037"/>
      <c r="AI1427" s="1037"/>
      <c r="AJ1427" s="1037"/>
      <c r="AK1427" s="1037"/>
      <c r="AL1427" s="1037"/>
      <c r="AM1427" s="1037"/>
      <c r="AN1427" s="1037"/>
      <c r="AO1427" s="1037"/>
      <c r="AP1427" s="1037"/>
    </row>
    <row r="1428" spans="1:42" s="226" customFormat="1">
      <c r="A1428" s="2060"/>
      <c r="B1428" s="1037"/>
      <c r="C1428" s="1037"/>
      <c r="D1428" s="1037"/>
      <c r="E1428" s="1037"/>
      <c r="F1428" s="1037"/>
      <c r="G1428" s="1037"/>
      <c r="H1428" s="1018"/>
      <c r="I1428" s="1037"/>
      <c r="J1428" s="1037"/>
      <c r="K1428" s="1037"/>
      <c r="L1428" s="1037"/>
      <c r="M1428" s="1037"/>
      <c r="N1428" s="1037"/>
      <c r="O1428" s="1037"/>
      <c r="P1428" s="1037"/>
      <c r="Q1428" s="1037"/>
      <c r="R1428" s="1037"/>
      <c r="S1428" s="1037"/>
      <c r="T1428" s="1037"/>
      <c r="U1428" s="1037"/>
      <c r="V1428" s="1037"/>
      <c r="W1428" s="1037"/>
      <c r="X1428" s="1037"/>
      <c r="Y1428" s="1037"/>
      <c r="Z1428" s="1037"/>
      <c r="AA1428" s="1037"/>
      <c r="AB1428" s="1037"/>
      <c r="AC1428" s="1037"/>
      <c r="AD1428" s="1037"/>
      <c r="AE1428" s="1037"/>
      <c r="AF1428" s="1037"/>
      <c r="AG1428" s="1037"/>
      <c r="AH1428" s="1037"/>
      <c r="AI1428" s="1037"/>
      <c r="AJ1428" s="1037"/>
      <c r="AK1428" s="1037"/>
      <c r="AL1428" s="1037"/>
      <c r="AM1428" s="1037"/>
      <c r="AN1428" s="1037"/>
      <c r="AO1428" s="1037"/>
      <c r="AP1428" s="1037"/>
    </row>
    <row r="1429" spans="1:42" s="226" customFormat="1">
      <c r="A1429" s="2060"/>
      <c r="B1429" s="1037"/>
      <c r="C1429" s="1037"/>
      <c r="D1429" s="1037"/>
      <c r="E1429" s="1037"/>
      <c r="F1429" s="1037"/>
      <c r="G1429" s="1037"/>
      <c r="H1429" s="1018"/>
      <c r="I1429" s="1037"/>
      <c r="J1429" s="1037"/>
      <c r="K1429" s="1037"/>
      <c r="L1429" s="1037"/>
      <c r="M1429" s="1037"/>
      <c r="N1429" s="1037"/>
      <c r="O1429" s="1037"/>
      <c r="P1429" s="1037"/>
      <c r="Q1429" s="1037"/>
      <c r="R1429" s="1037"/>
      <c r="S1429" s="1037"/>
      <c r="T1429" s="1037"/>
      <c r="U1429" s="1037"/>
      <c r="V1429" s="1037"/>
      <c r="W1429" s="1037"/>
      <c r="X1429" s="1037"/>
      <c r="Y1429" s="1037"/>
      <c r="Z1429" s="1037"/>
      <c r="AA1429" s="1037"/>
      <c r="AB1429" s="1037"/>
      <c r="AC1429" s="1037"/>
      <c r="AD1429" s="1037"/>
      <c r="AE1429" s="1037"/>
      <c r="AF1429" s="1037"/>
      <c r="AG1429" s="1037"/>
      <c r="AH1429" s="1037"/>
      <c r="AI1429" s="1037"/>
      <c r="AJ1429" s="1037"/>
      <c r="AK1429" s="1037"/>
      <c r="AL1429" s="1037"/>
      <c r="AM1429" s="1037"/>
      <c r="AN1429" s="1037"/>
      <c r="AO1429" s="1037"/>
      <c r="AP1429" s="1037"/>
    </row>
    <row r="1430" spans="1:42" s="226" customFormat="1">
      <c r="A1430" s="2060"/>
      <c r="B1430" s="1037"/>
      <c r="C1430" s="1037"/>
      <c r="D1430" s="1037"/>
      <c r="E1430" s="1037"/>
      <c r="F1430" s="1037"/>
      <c r="G1430" s="1037"/>
      <c r="H1430" s="1018"/>
      <c r="I1430" s="1037"/>
      <c r="J1430" s="1037"/>
      <c r="K1430" s="1037"/>
      <c r="L1430" s="1037"/>
      <c r="M1430" s="1037"/>
      <c r="N1430" s="1037"/>
      <c r="O1430" s="1037"/>
      <c r="P1430" s="1037"/>
      <c r="Q1430" s="1037"/>
      <c r="R1430" s="1037"/>
      <c r="S1430" s="1037"/>
      <c r="T1430" s="1037"/>
      <c r="U1430" s="1037"/>
      <c r="V1430" s="1037"/>
      <c r="W1430" s="1037"/>
      <c r="X1430" s="1037"/>
      <c r="Y1430" s="1037"/>
      <c r="Z1430" s="1037"/>
      <c r="AA1430" s="1037"/>
      <c r="AB1430" s="1037"/>
      <c r="AC1430" s="1037"/>
      <c r="AD1430" s="1037"/>
      <c r="AE1430" s="1037"/>
      <c r="AF1430" s="1037"/>
      <c r="AG1430" s="1037"/>
      <c r="AH1430" s="1037"/>
      <c r="AI1430" s="1037"/>
      <c r="AJ1430" s="1037"/>
      <c r="AK1430" s="1037"/>
      <c r="AL1430" s="1037"/>
      <c r="AM1430" s="1037"/>
      <c r="AN1430" s="1037"/>
      <c r="AO1430" s="1037"/>
      <c r="AP1430" s="1037"/>
    </row>
    <row r="1431" spans="1:42" s="226" customFormat="1">
      <c r="A1431" s="2060"/>
      <c r="B1431" s="1037"/>
      <c r="C1431" s="1037"/>
      <c r="D1431" s="1037"/>
      <c r="E1431" s="1037"/>
      <c r="F1431" s="1037"/>
      <c r="G1431" s="1037"/>
      <c r="H1431" s="1018"/>
      <c r="I1431" s="1037"/>
      <c r="J1431" s="1037"/>
      <c r="K1431" s="1037"/>
      <c r="L1431" s="1037"/>
      <c r="M1431" s="1037"/>
      <c r="N1431" s="1037"/>
      <c r="O1431" s="1037"/>
      <c r="P1431" s="1037"/>
      <c r="Q1431" s="1037"/>
      <c r="R1431" s="1037"/>
      <c r="S1431" s="1037"/>
      <c r="T1431" s="1037"/>
      <c r="U1431" s="1037"/>
      <c r="V1431" s="1037"/>
      <c r="W1431" s="1037"/>
      <c r="X1431" s="1037"/>
      <c r="Y1431" s="1037"/>
      <c r="Z1431" s="1037"/>
      <c r="AA1431" s="1037"/>
      <c r="AB1431" s="1037"/>
      <c r="AC1431" s="1037"/>
      <c r="AD1431" s="1037"/>
      <c r="AE1431" s="1037"/>
      <c r="AF1431" s="1037"/>
      <c r="AG1431" s="1037"/>
      <c r="AH1431" s="1037"/>
      <c r="AI1431" s="1037"/>
      <c r="AJ1431" s="1037"/>
      <c r="AK1431" s="1037"/>
      <c r="AL1431" s="1037"/>
      <c r="AM1431" s="1037"/>
      <c r="AN1431" s="1037"/>
      <c r="AO1431" s="1037"/>
      <c r="AP1431" s="1037"/>
    </row>
    <row r="1432" spans="1:42" s="226" customFormat="1">
      <c r="A1432" s="2060"/>
      <c r="B1432" s="1037"/>
      <c r="C1432" s="1037"/>
      <c r="D1432" s="1037"/>
      <c r="E1432" s="1037"/>
      <c r="F1432" s="1037"/>
      <c r="G1432" s="1037"/>
      <c r="H1432" s="1018"/>
      <c r="I1432" s="1037"/>
      <c r="J1432" s="1037"/>
      <c r="K1432" s="1037"/>
      <c r="L1432" s="1037"/>
      <c r="M1432" s="1037"/>
      <c r="N1432" s="1037"/>
      <c r="O1432" s="1037"/>
      <c r="P1432" s="1037"/>
      <c r="Q1432" s="1037"/>
      <c r="R1432" s="1037"/>
      <c r="S1432" s="1037"/>
      <c r="T1432" s="1037"/>
      <c r="U1432" s="1037"/>
      <c r="V1432" s="1037"/>
      <c r="W1432" s="1037"/>
      <c r="X1432" s="1037"/>
      <c r="Y1432" s="1037"/>
      <c r="Z1432" s="1037"/>
      <c r="AA1432" s="1037"/>
      <c r="AB1432" s="1037"/>
      <c r="AC1432" s="1037"/>
      <c r="AD1432" s="1037"/>
      <c r="AE1432" s="1037"/>
      <c r="AF1432" s="1037"/>
      <c r="AG1432" s="1037"/>
      <c r="AH1432" s="1037"/>
      <c r="AI1432" s="1037"/>
      <c r="AJ1432" s="1037"/>
      <c r="AK1432" s="1037"/>
      <c r="AL1432" s="1037"/>
      <c r="AM1432" s="1037"/>
      <c r="AN1432" s="1037"/>
      <c r="AO1432" s="1037"/>
      <c r="AP1432" s="1037"/>
    </row>
    <row r="1433" spans="1:42" s="226" customFormat="1">
      <c r="A1433" s="2060"/>
      <c r="B1433" s="1037"/>
      <c r="C1433" s="1037"/>
      <c r="D1433" s="1037"/>
      <c r="E1433" s="1037"/>
      <c r="F1433" s="1037"/>
      <c r="G1433" s="1037"/>
      <c r="H1433" s="1018"/>
      <c r="I1433" s="1037"/>
      <c r="J1433" s="1037"/>
      <c r="K1433" s="1037"/>
      <c r="L1433" s="1037"/>
      <c r="M1433" s="1037"/>
      <c r="N1433" s="1037"/>
      <c r="O1433" s="1037"/>
      <c r="P1433" s="1037"/>
      <c r="Q1433" s="1037"/>
      <c r="R1433" s="1037"/>
      <c r="S1433" s="1037"/>
      <c r="T1433" s="1037"/>
      <c r="U1433" s="1037"/>
      <c r="V1433" s="1037"/>
      <c r="W1433" s="1037"/>
      <c r="X1433" s="1037"/>
      <c r="Y1433" s="1037"/>
      <c r="Z1433" s="1037"/>
      <c r="AA1433" s="1037"/>
      <c r="AB1433" s="1037"/>
      <c r="AC1433" s="1037"/>
      <c r="AD1433" s="1037"/>
      <c r="AE1433" s="1037"/>
      <c r="AF1433" s="1037"/>
      <c r="AG1433" s="1037"/>
      <c r="AH1433" s="1037"/>
      <c r="AI1433" s="1037"/>
      <c r="AJ1433" s="1037"/>
      <c r="AK1433" s="1037"/>
      <c r="AL1433" s="1037"/>
      <c r="AM1433" s="1037"/>
      <c r="AN1433" s="1037"/>
      <c r="AO1433" s="1037"/>
      <c r="AP1433" s="1037"/>
    </row>
    <row r="1434" spans="1:42" s="226" customFormat="1" ht="12.75" customHeight="1">
      <c r="A1434" s="2060"/>
      <c r="B1434" s="1037"/>
      <c r="C1434" s="1037"/>
      <c r="D1434" s="1037"/>
      <c r="E1434" s="1037"/>
      <c r="F1434" s="1037"/>
      <c r="G1434" s="1037"/>
      <c r="H1434" s="1018"/>
      <c r="I1434" s="1037"/>
      <c r="J1434" s="1037"/>
      <c r="K1434" s="1037"/>
      <c r="L1434" s="1037"/>
      <c r="M1434" s="1037"/>
      <c r="N1434" s="1037"/>
      <c r="O1434" s="1037"/>
      <c r="P1434" s="1037"/>
      <c r="Q1434" s="1037"/>
      <c r="R1434" s="1037"/>
      <c r="S1434" s="1037"/>
      <c r="T1434" s="1037"/>
      <c r="U1434" s="1037"/>
      <c r="V1434" s="1037"/>
      <c r="W1434" s="1037"/>
      <c r="X1434" s="1037"/>
      <c r="Y1434" s="1037"/>
      <c r="Z1434" s="1037"/>
      <c r="AA1434" s="1037"/>
      <c r="AB1434" s="1037"/>
      <c r="AC1434" s="1037"/>
      <c r="AD1434" s="1037"/>
      <c r="AE1434" s="1037"/>
      <c r="AF1434" s="1037"/>
      <c r="AG1434" s="1037"/>
      <c r="AH1434" s="1037"/>
      <c r="AI1434" s="1037"/>
      <c r="AJ1434" s="1037"/>
      <c r="AK1434" s="1037"/>
      <c r="AL1434" s="1037"/>
      <c r="AM1434" s="1037"/>
      <c r="AN1434" s="1037"/>
      <c r="AO1434" s="1037"/>
      <c r="AP1434" s="1037"/>
    </row>
    <row r="1435" spans="1:42" s="226" customFormat="1" ht="12.75" customHeight="1">
      <c r="A1435" s="2060"/>
      <c r="B1435" s="1037"/>
      <c r="C1435" s="1037"/>
      <c r="D1435" s="1037"/>
      <c r="E1435" s="1037"/>
      <c r="F1435" s="1037"/>
      <c r="G1435" s="1037"/>
      <c r="H1435" s="1018"/>
      <c r="I1435" s="1037"/>
      <c r="J1435" s="1037"/>
      <c r="K1435" s="1037"/>
      <c r="L1435" s="1037"/>
      <c r="M1435" s="1037"/>
      <c r="N1435" s="1037"/>
      <c r="O1435" s="1037"/>
      <c r="P1435" s="1037"/>
      <c r="Q1435" s="1037"/>
      <c r="R1435" s="1037"/>
      <c r="S1435" s="1037"/>
      <c r="T1435" s="1037"/>
      <c r="U1435" s="1037"/>
      <c r="V1435" s="1037"/>
      <c r="W1435" s="1037"/>
      <c r="X1435" s="1037"/>
      <c r="Y1435" s="1037"/>
      <c r="Z1435" s="1037"/>
      <c r="AA1435" s="1037"/>
      <c r="AB1435" s="1037"/>
      <c r="AC1435" s="1037"/>
      <c r="AD1435" s="1037"/>
      <c r="AE1435" s="1037"/>
      <c r="AF1435" s="1037"/>
      <c r="AG1435" s="1037"/>
      <c r="AH1435" s="1037"/>
      <c r="AI1435" s="1037"/>
      <c r="AJ1435" s="1037"/>
      <c r="AK1435" s="1037"/>
      <c r="AL1435" s="1037"/>
      <c r="AM1435" s="1037"/>
      <c r="AN1435" s="1037"/>
      <c r="AO1435" s="1037"/>
      <c r="AP1435" s="1037"/>
    </row>
    <row r="1436" spans="1:42" s="226" customFormat="1" ht="12.75" customHeight="1">
      <c r="A1436" s="2060"/>
      <c r="B1436" s="1037"/>
      <c r="C1436" s="1037"/>
      <c r="D1436" s="1037"/>
      <c r="E1436" s="1037"/>
      <c r="F1436" s="1037"/>
      <c r="G1436" s="1037"/>
      <c r="H1436" s="1018"/>
      <c r="I1436" s="1037"/>
      <c r="J1436" s="1037"/>
      <c r="K1436" s="1037"/>
      <c r="L1436" s="1037"/>
      <c r="M1436" s="1037"/>
      <c r="N1436" s="1037"/>
      <c r="O1436" s="1037"/>
      <c r="P1436" s="1037"/>
      <c r="Q1436" s="1037"/>
      <c r="R1436" s="1037"/>
      <c r="S1436" s="1037"/>
      <c r="T1436" s="1037"/>
      <c r="U1436" s="1037"/>
      <c r="V1436" s="1037"/>
      <c r="W1436" s="1037"/>
      <c r="X1436" s="1037"/>
      <c r="Y1436" s="1037"/>
      <c r="Z1436" s="1037"/>
      <c r="AA1436" s="1037"/>
      <c r="AB1436" s="1037"/>
      <c r="AC1436" s="1037"/>
      <c r="AD1436" s="1037"/>
      <c r="AE1436" s="1037"/>
      <c r="AF1436" s="1037"/>
      <c r="AG1436" s="1037"/>
      <c r="AH1436" s="1037"/>
      <c r="AI1436" s="1037"/>
      <c r="AJ1436" s="1037"/>
      <c r="AK1436" s="1037"/>
      <c r="AL1436" s="1037"/>
      <c r="AM1436" s="1037"/>
      <c r="AN1436" s="1037"/>
      <c r="AO1436" s="1037"/>
      <c r="AP1436" s="1037"/>
    </row>
    <row r="1437" spans="1:42" s="226" customFormat="1" ht="12.75" customHeight="1">
      <c r="A1437" s="2060"/>
      <c r="B1437" s="1037"/>
      <c r="C1437" s="1037"/>
      <c r="D1437" s="1037"/>
      <c r="E1437" s="1037"/>
      <c r="F1437" s="1037"/>
      <c r="G1437" s="1037"/>
      <c r="H1437" s="1018"/>
      <c r="I1437" s="1037"/>
      <c r="J1437" s="1037"/>
      <c r="K1437" s="1037"/>
      <c r="L1437" s="1037"/>
      <c r="M1437" s="1037"/>
      <c r="N1437" s="1037"/>
      <c r="O1437" s="1037"/>
      <c r="P1437" s="1037"/>
      <c r="Q1437" s="1037"/>
      <c r="R1437" s="1037"/>
      <c r="S1437" s="1037"/>
      <c r="T1437" s="1037"/>
      <c r="U1437" s="1037"/>
      <c r="V1437" s="1037"/>
      <c r="W1437" s="1037"/>
      <c r="X1437" s="1037"/>
      <c r="Y1437" s="1037"/>
      <c r="Z1437" s="1037"/>
      <c r="AA1437" s="1037"/>
      <c r="AB1437" s="1037"/>
      <c r="AC1437" s="1037"/>
      <c r="AD1437" s="1037"/>
      <c r="AE1437" s="1037"/>
      <c r="AF1437" s="1037"/>
      <c r="AG1437" s="1037"/>
      <c r="AH1437" s="1037"/>
      <c r="AI1437" s="1037"/>
      <c r="AJ1437" s="1037"/>
      <c r="AK1437" s="1037"/>
      <c r="AL1437" s="1037"/>
      <c r="AM1437" s="1037"/>
      <c r="AN1437" s="1037"/>
      <c r="AO1437" s="1037"/>
      <c r="AP1437" s="1037"/>
    </row>
    <row r="1438" spans="1:42" s="226" customFormat="1" ht="12.75" customHeight="1">
      <c r="A1438" s="2060"/>
      <c r="B1438" s="1037"/>
      <c r="C1438" s="1037"/>
      <c r="D1438" s="1037"/>
      <c r="E1438" s="1037"/>
      <c r="F1438" s="1037"/>
      <c r="G1438" s="1037"/>
      <c r="H1438" s="1018"/>
      <c r="I1438" s="1037"/>
      <c r="J1438" s="1037"/>
      <c r="K1438" s="1037"/>
      <c r="L1438" s="1037"/>
      <c r="M1438" s="1037"/>
      <c r="N1438" s="1037"/>
      <c r="O1438" s="1037"/>
      <c r="P1438" s="1037"/>
      <c r="Q1438" s="1037"/>
      <c r="R1438" s="1037"/>
      <c r="S1438" s="1037"/>
      <c r="T1438" s="1037"/>
      <c r="U1438" s="1037"/>
      <c r="V1438" s="1037"/>
      <c r="W1438" s="1037"/>
      <c r="X1438" s="1037"/>
      <c r="Y1438" s="1037"/>
      <c r="Z1438" s="1037"/>
      <c r="AA1438" s="1037"/>
      <c r="AB1438" s="1037"/>
      <c r="AC1438" s="1037"/>
      <c r="AD1438" s="1037"/>
      <c r="AE1438" s="1037"/>
      <c r="AF1438" s="1037"/>
      <c r="AG1438" s="1037"/>
      <c r="AH1438" s="1037"/>
      <c r="AI1438" s="1037"/>
      <c r="AJ1438" s="1037"/>
      <c r="AK1438" s="1037"/>
      <c r="AL1438" s="1037"/>
      <c r="AM1438" s="1037"/>
      <c r="AN1438" s="1037"/>
      <c r="AO1438" s="1037"/>
      <c r="AP1438" s="1037"/>
    </row>
    <row r="1439" spans="1:42" s="226" customFormat="1" ht="12.75" customHeight="1">
      <c r="A1439" s="2060"/>
      <c r="B1439" s="1037"/>
      <c r="C1439" s="1037"/>
      <c r="D1439" s="1037"/>
      <c r="E1439" s="1037"/>
      <c r="F1439" s="1037"/>
      <c r="G1439" s="1037"/>
      <c r="H1439" s="1018"/>
      <c r="I1439" s="1037"/>
      <c r="J1439" s="1037"/>
      <c r="K1439" s="1037"/>
      <c r="L1439" s="1037"/>
      <c r="M1439" s="1037"/>
      <c r="N1439" s="1037"/>
      <c r="O1439" s="1037"/>
      <c r="P1439" s="1037"/>
      <c r="Q1439" s="1037"/>
      <c r="R1439" s="1037"/>
      <c r="S1439" s="1037"/>
      <c r="T1439" s="1037"/>
      <c r="U1439" s="1037"/>
      <c r="V1439" s="1037"/>
      <c r="W1439" s="1037"/>
      <c r="X1439" s="1037"/>
      <c r="Y1439" s="1037"/>
      <c r="Z1439" s="1037"/>
      <c r="AA1439" s="1037"/>
      <c r="AB1439" s="1037"/>
      <c r="AC1439" s="1037"/>
      <c r="AD1439" s="1037"/>
      <c r="AE1439" s="1037"/>
      <c r="AF1439" s="1037"/>
      <c r="AG1439" s="1037"/>
      <c r="AH1439" s="1037"/>
      <c r="AI1439" s="1037"/>
      <c r="AJ1439" s="1037"/>
      <c r="AK1439" s="1037"/>
      <c r="AL1439" s="1037"/>
      <c r="AM1439" s="1037"/>
      <c r="AN1439" s="1037"/>
      <c r="AO1439" s="1037"/>
      <c r="AP1439" s="1037"/>
    </row>
    <row r="1440" spans="1:42" s="226" customFormat="1" ht="12.75" customHeight="1">
      <c r="A1440" s="2060"/>
      <c r="B1440" s="1037"/>
      <c r="C1440" s="1037"/>
      <c r="D1440" s="1037"/>
      <c r="E1440" s="1037"/>
      <c r="F1440" s="1037"/>
      <c r="G1440" s="1037"/>
      <c r="H1440" s="1018"/>
      <c r="I1440" s="1037"/>
      <c r="J1440" s="1037"/>
      <c r="K1440" s="1037"/>
      <c r="L1440" s="1037"/>
      <c r="M1440" s="1037"/>
      <c r="N1440" s="1037"/>
      <c r="O1440" s="1037"/>
      <c r="P1440" s="1037"/>
      <c r="Q1440" s="1037"/>
      <c r="R1440" s="1037"/>
      <c r="S1440" s="1037"/>
      <c r="T1440" s="1037"/>
      <c r="U1440" s="1037"/>
      <c r="V1440" s="1037"/>
      <c r="W1440" s="1037"/>
      <c r="X1440" s="1037"/>
      <c r="Y1440" s="1037"/>
      <c r="Z1440" s="1037"/>
      <c r="AA1440" s="1037"/>
      <c r="AB1440" s="1037"/>
      <c r="AC1440" s="1037"/>
      <c r="AD1440" s="1037"/>
      <c r="AE1440" s="1037"/>
      <c r="AF1440" s="1037"/>
      <c r="AG1440" s="1037"/>
      <c r="AH1440" s="1037"/>
      <c r="AI1440" s="1037"/>
      <c r="AJ1440" s="1037"/>
      <c r="AK1440" s="1037"/>
      <c r="AL1440" s="1037"/>
      <c r="AM1440" s="1037"/>
      <c r="AN1440" s="1037"/>
      <c r="AO1440" s="1037"/>
      <c r="AP1440" s="1037"/>
    </row>
    <row r="1441" spans="1:42" s="226" customFormat="1" ht="12.75" customHeight="1">
      <c r="A1441" s="2060"/>
      <c r="B1441" s="1037"/>
      <c r="C1441" s="1037"/>
      <c r="D1441" s="1037"/>
      <c r="E1441" s="1037"/>
      <c r="F1441" s="1037"/>
      <c r="G1441" s="1037"/>
      <c r="H1441" s="1018"/>
      <c r="I1441" s="1037"/>
      <c r="J1441" s="1037"/>
      <c r="K1441" s="1037"/>
      <c r="L1441" s="1037"/>
      <c r="M1441" s="1037"/>
      <c r="N1441" s="1037"/>
      <c r="O1441" s="1037"/>
      <c r="P1441" s="1037"/>
      <c r="Q1441" s="1037"/>
      <c r="R1441" s="1037"/>
      <c r="S1441" s="1037"/>
      <c r="T1441" s="1037"/>
      <c r="U1441" s="1037"/>
      <c r="V1441" s="1037"/>
      <c r="W1441" s="1037"/>
      <c r="X1441" s="1037"/>
      <c r="Y1441" s="1037"/>
      <c r="Z1441" s="1037"/>
      <c r="AA1441" s="1037"/>
      <c r="AB1441" s="1037"/>
      <c r="AC1441" s="1037"/>
      <c r="AD1441" s="1037"/>
      <c r="AE1441" s="1037"/>
      <c r="AF1441" s="1037"/>
      <c r="AG1441" s="1037"/>
      <c r="AH1441" s="1037"/>
      <c r="AI1441" s="1037"/>
      <c r="AJ1441" s="1037"/>
      <c r="AK1441" s="1037"/>
      <c r="AL1441" s="1037"/>
      <c r="AM1441" s="1037"/>
      <c r="AN1441" s="1037"/>
      <c r="AO1441" s="1037"/>
      <c r="AP1441" s="1037"/>
    </row>
    <row r="1442" spans="1:42" s="226" customFormat="1" ht="12.75" customHeight="1">
      <c r="A1442" s="2060"/>
      <c r="B1442" s="1037"/>
      <c r="C1442" s="1037"/>
      <c r="D1442" s="1037"/>
      <c r="E1442" s="1037"/>
      <c r="F1442" s="1037"/>
      <c r="G1442" s="1037"/>
      <c r="H1442" s="1018"/>
      <c r="I1442" s="1037"/>
      <c r="J1442" s="1037"/>
      <c r="K1442" s="1037"/>
      <c r="L1442" s="1037"/>
      <c r="M1442" s="1037"/>
      <c r="N1442" s="1037"/>
      <c r="O1442" s="1037"/>
      <c r="P1442" s="1037"/>
      <c r="Q1442" s="1037"/>
      <c r="R1442" s="1037"/>
      <c r="S1442" s="1037"/>
      <c r="T1442" s="1037"/>
      <c r="U1442" s="1037"/>
      <c r="V1442" s="1037"/>
      <c r="W1442" s="1037"/>
      <c r="X1442" s="1037"/>
      <c r="Y1442" s="1037"/>
      <c r="Z1442" s="1037"/>
      <c r="AA1442" s="1037"/>
      <c r="AB1442" s="1037"/>
      <c r="AC1442" s="1037"/>
      <c r="AD1442" s="1037"/>
      <c r="AE1442" s="1037"/>
      <c r="AF1442" s="1037"/>
      <c r="AG1442" s="1037"/>
      <c r="AH1442" s="1037"/>
      <c r="AI1442" s="1037"/>
      <c r="AJ1442" s="1037"/>
      <c r="AK1442" s="1037"/>
      <c r="AL1442" s="1037"/>
      <c r="AM1442" s="1037"/>
      <c r="AN1442" s="1037"/>
      <c r="AO1442" s="1037"/>
      <c r="AP1442" s="1037"/>
    </row>
    <row r="1443" spans="1:42" s="226" customFormat="1" ht="12.75" customHeight="1">
      <c r="A1443" s="2060"/>
      <c r="B1443" s="1037"/>
      <c r="C1443" s="1037"/>
      <c r="D1443" s="1037"/>
      <c r="E1443" s="1037"/>
      <c r="F1443" s="1037"/>
      <c r="G1443" s="1037"/>
      <c r="H1443" s="1018"/>
      <c r="I1443" s="1037"/>
      <c r="J1443" s="1037"/>
      <c r="K1443" s="1037"/>
      <c r="L1443" s="1037"/>
      <c r="M1443" s="1037"/>
      <c r="N1443" s="1037"/>
      <c r="O1443" s="1037"/>
      <c r="P1443" s="1037"/>
      <c r="Q1443" s="1037"/>
      <c r="R1443" s="1037"/>
      <c r="S1443" s="1037"/>
      <c r="T1443" s="1037"/>
      <c r="U1443" s="1037"/>
      <c r="V1443" s="1037"/>
      <c r="W1443" s="1037"/>
      <c r="X1443" s="1037"/>
      <c r="Y1443" s="1037"/>
      <c r="Z1443" s="1037"/>
      <c r="AA1443" s="1037"/>
      <c r="AB1443" s="1037"/>
      <c r="AC1443" s="1037"/>
      <c r="AD1443" s="1037"/>
      <c r="AE1443" s="1037"/>
      <c r="AF1443" s="1037"/>
      <c r="AG1443" s="1037"/>
      <c r="AH1443" s="1037"/>
      <c r="AI1443" s="1037"/>
      <c r="AJ1443" s="1037"/>
      <c r="AK1443" s="1037"/>
      <c r="AL1443" s="1037"/>
      <c r="AM1443" s="1037"/>
      <c r="AN1443" s="1037"/>
      <c r="AO1443" s="1037"/>
      <c r="AP1443" s="1037"/>
    </row>
    <row r="1444" spans="1:42" s="226" customFormat="1" ht="12.75" customHeight="1">
      <c r="A1444" s="2060"/>
      <c r="B1444" s="1037"/>
      <c r="C1444" s="1037"/>
      <c r="D1444" s="1037"/>
      <c r="E1444" s="1037"/>
      <c r="F1444" s="1037"/>
      <c r="G1444" s="1037"/>
      <c r="H1444" s="1018"/>
      <c r="I1444" s="1037"/>
      <c r="J1444" s="1037"/>
      <c r="K1444" s="1037"/>
      <c r="L1444" s="1037"/>
      <c r="M1444" s="1037"/>
      <c r="N1444" s="1037"/>
      <c r="O1444" s="1037"/>
      <c r="P1444" s="1037"/>
      <c r="Q1444" s="1037"/>
      <c r="R1444" s="1037"/>
      <c r="S1444" s="1037"/>
      <c r="T1444" s="1037"/>
      <c r="U1444" s="1037"/>
      <c r="V1444" s="1037"/>
      <c r="W1444" s="1037"/>
      <c r="X1444" s="1037"/>
      <c r="Y1444" s="1037"/>
      <c r="Z1444" s="1037"/>
      <c r="AA1444" s="1037"/>
      <c r="AB1444" s="1037"/>
      <c r="AC1444" s="1037"/>
      <c r="AD1444" s="1037"/>
      <c r="AE1444" s="1037"/>
      <c r="AF1444" s="1037"/>
      <c r="AG1444" s="1037"/>
      <c r="AH1444" s="1037"/>
      <c r="AI1444" s="1037"/>
      <c r="AJ1444" s="1037"/>
      <c r="AK1444" s="1037"/>
      <c r="AL1444" s="1037"/>
      <c r="AM1444" s="1037"/>
      <c r="AN1444" s="1037"/>
      <c r="AO1444" s="1037"/>
      <c r="AP1444" s="1037"/>
    </row>
    <row r="1445" spans="1:42" s="226" customFormat="1" ht="12.75" customHeight="1">
      <c r="A1445" s="2060"/>
      <c r="B1445" s="1037"/>
      <c r="C1445" s="1037"/>
      <c r="D1445" s="1037"/>
      <c r="E1445" s="1037"/>
      <c r="F1445" s="1037"/>
      <c r="G1445" s="1037"/>
      <c r="H1445" s="1018"/>
      <c r="I1445" s="1037"/>
      <c r="J1445" s="1037"/>
      <c r="K1445" s="1037"/>
      <c r="L1445" s="1037"/>
      <c r="M1445" s="1037"/>
      <c r="N1445" s="1037"/>
      <c r="O1445" s="1037"/>
      <c r="P1445" s="1037"/>
      <c r="Q1445" s="1037"/>
      <c r="R1445" s="1037"/>
      <c r="S1445" s="1037"/>
      <c r="T1445" s="1037"/>
      <c r="U1445" s="1037"/>
      <c r="V1445" s="1037"/>
      <c r="W1445" s="1037"/>
      <c r="X1445" s="1037"/>
      <c r="Y1445" s="1037"/>
      <c r="Z1445" s="1037"/>
      <c r="AA1445" s="1037"/>
      <c r="AB1445" s="1037"/>
      <c r="AC1445" s="1037"/>
      <c r="AD1445" s="1037"/>
      <c r="AE1445" s="1037"/>
      <c r="AF1445" s="1037"/>
      <c r="AG1445" s="1037"/>
      <c r="AH1445" s="1037"/>
      <c r="AI1445" s="1037"/>
      <c r="AJ1445" s="1037"/>
      <c r="AK1445" s="1037"/>
      <c r="AL1445" s="1037"/>
      <c r="AM1445" s="1037"/>
      <c r="AN1445" s="1037"/>
      <c r="AO1445" s="1037"/>
      <c r="AP1445" s="1037"/>
    </row>
    <row r="1446" spans="1:42" s="226" customFormat="1" ht="12.75" customHeight="1">
      <c r="A1446" s="2060"/>
      <c r="B1446" s="1037"/>
      <c r="C1446" s="1037"/>
      <c r="D1446" s="1037"/>
      <c r="E1446" s="1037"/>
      <c r="F1446" s="1037"/>
      <c r="G1446" s="1037"/>
      <c r="H1446" s="1018"/>
      <c r="I1446" s="1037"/>
      <c r="J1446" s="1037"/>
      <c r="K1446" s="1037"/>
      <c r="L1446" s="1037"/>
      <c r="M1446" s="1037"/>
      <c r="N1446" s="1037"/>
      <c r="O1446" s="1037"/>
      <c r="P1446" s="1037"/>
      <c r="Q1446" s="1037"/>
      <c r="R1446" s="1037"/>
      <c r="S1446" s="1037"/>
      <c r="T1446" s="1037"/>
      <c r="U1446" s="1037"/>
      <c r="V1446" s="1037"/>
      <c r="W1446" s="1037"/>
      <c r="X1446" s="1037"/>
      <c r="Y1446" s="1037"/>
      <c r="Z1446" s="1037"/>
      <c r="AA1446" s="1037"/>
      <c r="AB1446" s="1037"/>
      <c r="AC1446" s="1037"/>
      <c r="AD1446" s="1037"/>
      <c r="AE1446" s="1037"/>
      <c r="AF1446" s="1037"/>
      <c r="AG1446" s="1037"/>
      <c r="AH1446" s="1037"/>
      <c r="AI1446" s="1037"/>
      <c r="AJ1446" s="1037"/>
      <c r="AK1446" s="1037"/>
      <c r="AL1446" s="1037"/>
      <c r="AM1446" s="1037"/>
      <c r="AN1446" s="1037"/>
      <c r="AO1446" s="1037"/>
      <c r="AP1446" s="1037"/>
    </row>
    <row r="1447" spans="1:42" s="226" customFormat="1" ht="12.75" customHeight="1">
      <c r="A1447" s="2060"/>
      <c r="B1447" s="1037"/>
      <c r="C1447" s="1037"/>
      <c r="D1447" s="1037"/>
      <c r="E1447" s="1037"/>
      <c r="F1447" s="1037"/>
      <c r="G1447" s="1037"/>
      <c r="H1447" s="1018"/>
      <c r="I1447" s="1037"/>
      <c r="J1447" s="1037"/>
      <c r="K1447" s="1037"/>
      <c r="L1447" s="1037"/>
      <c r="M1447" s="1037"/>
      <c r="N1447" s="1037"/>
      <c r="O1447" s="1037"/>
      <c r="P1447" s="1037"/>
      <c r="Q1447" s="1037"/>
      <c r="R1447" s="1037"/>
      <c r="S1447" s="1037"/>
      <c r="T1447" s="1037"/>
      <c r="U1447" s="1037"/>
      <c r="V1447" s="1037"/>
      <c r="W1447" s="1037"/>
      <c r="X1447" s="1037"/>
      <c r="Y1447" s="1037"/>
      <c r="Z1447" s="1037"/>
      <c r="AA1447" s="1037"/>
      <c r="AB1447" s="1037"/>
      <c r="AC1447" s="1037"/>
      <c r="AD1447" s="1037"/>
      <c r="AE1447" s="1037"/>
      <c r="AF1447" s="1037"/>
      <c r="AG1447" s="1037"/>
      <c r="AH1447" s="1037"/>
      <c r="AI1447" s="1037"/>
      <c r="AJ1447" s="1037"/>
      <c r="AK1447" s="1037"/>
      <c r="AL1447" s="1037"/>
      <c r="AM1447" s="1037"/>
      <c r="AN1447" s="1037"/>
      <c r="AO1447" s="1037"/>
      <c r="AP1447" s="1037"/>
    </row>
    <row r="1448" spans="1:42" s="226" customFormat="1" ht="12.75" customHeight="1">
      <c r="A1448" s="2060"/>
      <c r="B1448" s="1037"/>
      <c r="C1448" s="1037"/>
      <c r="D1448" s="1037"/>
      <c r="E1448" s="1037"/>
      <c r="F1448" s="1037"/>
      <c r="G1448" s="1037"/>
      <c r="H1448" s="1018"/>
      <c r="I1448" s="1037"/>
      <c r="J1448" s="1037"/>
      <c r="K1448" s="1037"/>
      <c r="L1448" s="1037"/>
      <c r="M1448" s="1037"/>
      <c r="N1448" s="1037"/>
      <c r="O1448" s="1037"/>
      <c r="P1448" s="1037"/>
      <c r="Q1448" s="1037"/>
      <c r="R1448" s="1037"/>
      <c r="S1448" s="1037"/>
      <c r="T1448" s="1037"/>
      <c r="U1448" s="1037"/>
      <c r="V1448" s="1037"/>
      <c r="W1448" s="1037"/>
      <c r="X1448" s="1037"/>
      <c r="Y1448" s="1037"/>
      <c r="Z1448" s="1037"/>
      <c r="AA1448" s="1037"/>
      <c r="AB1448" s="1037"/>
      <c r="AC1448" s="1037"/>
      <c r="AD1448" s="1037"/>
      <c r="AE1448" s="1037"/>
      <c r="AF1448" s="1037"/>
      <c r="AG1448" s="1037"/>
      <c r="AH1448" s="1037"/>
      <c r="AI1448" s="1037"/>
      <c r="AJ1448" s="1037"/>
      <c r="AK1448" s="1037"/>
      <c r="AL1448" s="1037"/>
      <c r="AM1448" s="1037"/>
      <c r="AN1448" s="1037"/>
      <c r="AO1448" s="1037"/>
      <c r="AP1448" s="1037"/>
    </row>
    <row r="1449" spans="1:42" s="226" customFormat="1" ht="12.75" customHeight="1">
      <c r="A1449" s="2060"/>
      <c r="B1449" s="1037"/>
      <c r="C1449" s="1037"/>
      <c r="D1449" s="1037"/>
      <c r="E1449" s="1037"/>
      <c r="F1449" s="1037"/>
      <c r="G1449" s="1037"/>
      <c r="H1449" s="1018"/>
      <c r="I1449" s="1037"/>
      <c r="J1449" s="1037"/>
      <c r="K1449" s="1037"/>
      <c r="L1449" s="1037"/>
      <c r="M1449" s="1037"/>
      <c r="N1449" s="1037"/>
      <c r="O1449" s="1037"/>
      <c r="P1449" s="1037"/>
      <c r="Q1449" s="1037"/>
      <c r="R1449" s="1037"/>
      <c r="S1449" s="1037"/>
      <c r="T1449" s="1037"/>
      <c r="U1449" s="1037"/>
      <c r="V1449" s="1037"/>
      <c r="W1449" s="1037"/>
      <c r="X1449" s="1037"/>
      <c r="Y1449" s="1037"/>
      <c r="Z1449" s="1037"/>
      <c r="AA1449" s="1037"/>
      <c r="AB1449" s="1037"/>
      <c r="AC1449" s="1037"/>
      <c r="AD1449" s="1037"/>
      <c r="AE1449" s="1037"/>
      <c r="AF1449" s="1037"/>
      <c r="AG1449" s="1037"/>
      <c r="AH1449" s="1037"/>
      <c r="AI1449" s="1037"/>
      <c r="AJ1449" s="1037"/>
      <c r="AK1449" s="1037"/>
      <c r="AL1449" s="1037"/>
      <c r="AM1449" s="1037"/>
      <c r="AN1449" s="1037"/>
      <c r="AO1449" s="1037"/>
      <c r="AP1449" s="1037"/>
    </row>
    <row r="1450" spans="1:42" s="226" customFormat="1" ht="12.75" customHeight="1">
      <c r="A1450" s="2060"/>
      <c r="B1450" s="1037"/>
      <c r="C1450" s="1037"/>
      <c r="D1450" s="1037"/>
      <c r="E1450" s="1037"/>
      <c r="F1450" s="1037"/>
      <c r="G1450" s="1037"/>
      <c r="H1450" s="1018"/>
      <c r="I1450" s="1037"/>
      <c r="J1450" s="1037"/>
      <c r="K1450" s="1037"/>
      <c r="L1450" s="1037"/>
      <c r="M1450" s="1037"/>
      <c r="N1450" s="1037"/>
      <c r="O1450" s="1037"/>
      <c r="P1450" s="1037"/>
      <c r="Q1450" s="1037"/>
      <c r="R1450" s="1037"/>
      <c r="S1450" s="1037"/>
      <c r="T1450" s="1037"/>
      <c r="U1450" s="1037"/>
      <c r="V1450" s="1037"/>
      <c r="W1450" s="1037"/>
      <c r="X1450" s="1037"/>
      <c r="Y1450" s="1037"/>
      <c r="Z1450" s="1037"/>
      <c r="AA1450" s="1037"/>
      <c r="AB1450" s="1037"/>
      <c r="AC1450" s="1037"/>
      <c r="AD1450" s="1037"/>
      <c r="AE1450" s="1037"/>
      <c r="AF1450" s="1037"/>
      <c r="AG1450" s="1037"/>
      <c r="AH1450" s="1037"/>
      <c r="AI1450" s="1037"/>
      <c r="AJ1450" s="1037"/>
      <c r="AK1450" s="1037"/>
      <c r="AL1450" s="1037"/>
      <c r="AM1450" s="1037"/>
      <c r="AN1450" s="1037"/>
      <c r="AO1450" s="1037"/>
      <c r="AP1450" s="1037"/>
    </row>
    <row r="1451" spans="1:42" s="226" customFormat="1" ht="12.75" customHeight="1">
      <c r="A1451" s="2060"/>
      <c r="B1451" s="1037"/>
      <c r="C1451" s="1037"/>
      <c r="D1451" s="1037"/>
      <c r="E1451" s="1037"/>
      <c r="F1451" s="1037"/>
      <c r="G1451" s="1037"/>
      <c r="H1451" s="1018"/>
      <c r="I1451" s="1037"/>
      <c r="J1451" s="1037"/>
      <c r="K1451" s="1037"/>
      <c r="L1451" s="1037"/>
      <c r="M1451" s="1037"/>
      <c r="N1451" s="1037"/>
      <c r="O1451" s="1037"/>
      <c r="P1451" s="1037"/>
      <c r="Q1451" s="1037"/>
      <c r="R1451" s="1037"/>
      <c r="S1451" s="1037"/>
      <c r="T1451" s="1037"/>
      <c r="U1451" s="1037"/>
      <c r="V1451" s="1037"/>
      <c r="W1451" s="1037"/>
      <c r="X1451" s="1037"/>
      <c r="Y1451" s="1037"/>
      <c r="Z1451" s="1037"/>
      <c r="AA1451" s="1037"/>
      <c r="AB1451" s="1037"/>
      <c r="AC1451" s="1037"/>
      <c r="AD1451" s="1037"/>
      <c r="AE1451" s="1037"/>
      <c r="AF1451" s="1037"/>
      <c r="AG1451" s="1037"/>
      <c r="AH1451" s="1037"/>
      <c r="AI1451" s="1037"/>
      <c r="AJ1451" s="1037"/>
      <c r="AK1451" s="1037"/>
      <c r="AL1451" s="1037"/>
      <c r="AM1451" s="1037"/>
      <c r="AN1451" s="1037"/>
      <c r="AO1451" s="1037"/>
      <c r="AP1451" s="1037"/>
    </row>
    <row r="1452" spans="1:42" s="226" customFormat="1" ht="12.75" customHeight="1">
      <c r="A1452" s="2060"/>
      <c r="B1452" s="1037"/>
      <c r="C1452" s="1037"/>
      <c r="D1452" s="1037"/>
      <c r="E1452" s="1037"/>
      <c r="F1452" s="1037"/>
      <c r="G1452" s="1037"/>
      <c r="H1452" s="1018"/>
      <c r="I1452" s="1037"/>
      <c r="J1452" s="1037"/>
      <c r="K1452" s="1037"/>
      <c r="L1452" s="1037"/>
      <c r="M1452" s="1037"/>
      <c r="N1452" s="1037"/>
      <c r="O1452" s="1037"/>
      <c r="P1452" s="1037"/>
      <c r="Q1452" s="1037"/>
      <c r="R1452" s="1037"/>
      <c r="S1452" s="1037"/>
      <c r="T1452" s="1037"/>
      <c r="U1452" s="1037"/>
      <c r="V1452" s="1037"/>
      <c r="W1452" s="1037"/>
      <c r="X1452" s="1037"/>
      <c r="Y1452" s="1037"/>
      <c r="Z1452" s="1037"/>
      <c r="AA1452" s="1037"/>
      <c r="AB1452" s="1037"/>
      <c r="AC1452" s="1037"/>
      <c r="AD1452" s="1037"/>
      <c r="AE1452" s="1037"/>
      <c r="AF1452" s="1037"/>
      <c r="AG1452" s="1037"/>
      <c r="AH1452" s="1037"/>
      <c r="AI1452" s="1037"/>
      <c r="AJ1452" s="1037"/>
      <c r="AK1452" s="1037"/>
      <c r="AL1452" s="1037"/>
      <c r="AM1452" s="1037"/>
      <c r="AN1452" s="1037"/>
      <c r="AO1452" s="1037"/>
      <c r="AP1452" s="1037"/>
    </row>
    <row r="1453" spans="1:42" s="226" customFormat="1" ht="12.75" customHeight="1">
      <c r="A1453" s="2060"/>
      <c r="B1453" s="1037"/>
      <c r="C1453" s="1037"/>
      <c r="D1453" s="1037"/>
      <c r="E1453" s="1037"/>
      <c r="F1453" s="1037"/>
      <c r="G1453" s="1037"/>
      <c r="H1453" s="1018"/>
      <c r="I1453" s="1037"/>
      <c r="J1453" s="1037"/>
      <c r="K1453" s="1037"/>
      <c r="L1453" s="1037"/>
      <c r="M1453" s="1037"/>
      <c r="N1453" s="1037"/>
      <c r="O1453" s="1037"/>
      <c r="P1453" s="1037"/>
      <c r="Q1453" s="1037"/>
      <c r="R1453" s="1037"/>
      <c r="S1453" s="1037"/>
      <c r="T1453" s="1037"/>
      <c r="U1453" s="1037"/>
      <c r="V1453" s="1037"/>
      <c r="W1453" s="1037"/>
      <c r="X1453" s="1037"/>
      <c r="Y1453" s="1037"/>
      <c r="Z1453" s="1037"/>
      <c r="AA1453" s="1037"/>
      <c r="AB1453" s="1037"/>
      <c r="AC1453" s="1037"/>
      <c r="AD1453" s="1037"/>
      <c r="AE1453" s="1037"/>
      <c r="AF1453" s="1037"/>
      <c r="AG1453" s="1037"/>
      <c r="AH1453" s="1037"/>
      <c r="AI1453" s="1037"/>
      <c r="AJ1453" s="1037"/>
      <c r="AK1453" s="1037"/>
      <c r="AL1453" s="1037"/>
      <c r="AM1453" s="1037"/>
      <c r="AN1453" s="1037"/>
      <c r="AO1453" s="1037"/>
      <c r="AP1453" s="1037"/>
    </row>
    <row r="1454" spans="1:42" s="226" customFormat="1" ht="12.75" customHeight="1">
      <c r="A1454" s="2060"/>
      <c r="B1454" s="1037"/>
      <c r="C1454" s="1037"/>
      <c r="D1454" s="1037"/>
      <c r="E1454" s="1037"/>
      <c r="F1454" s="1037"/>
      <c r="G1454" s="1037"/>
      <c r="H1454" s="1018"/>
      <c r="I1454" s="1037"/>
      <c r="J1454" s="1037"/>
      <c r="K1454" s="1037"/>
      <c r="L1454" s="1037"/>
      <c r="M1454" s="1037"/>
      <c r="N1454" s="1037"/>
      <c r="O1454" s="1037"/>
      <c r="P1454" s="1037"/>
      <c r="Q1454" s="1037"/>
      <c r="R1454" s="1037"/>
      <c r="S1454" s="1037"/>
      <c r="T1454" s="1037"/>
      <c r="U1454" s="1037"/>
      <c r="V1454" s="1037"/>
      <c r="W1454" s="1037"/>
      <c r="X1454" s="1037"/>
      <c r="Y1454" s="1037"/>
      <c r="Z1454" s="1037"/>
      <c r="AA1454" s="1037"/>
      <c r="AB1454" s="1037"/>
      <c r="AC1454" s="1037"/>
      <c r="AD1454" s="1037"/>
      <c r="AE1454" s="1037"/>
      <c r="AF1454" s="1037"/>
      <c r="AG1454" s="1037"/>
      <c r="AH1454" s="1037"/>
      <c r="AI1454" s="1037"/>
      <c r="AJ1454" s="1037"/>
      <c r="AK1454" s="1037"/>
      <c r="AL1454" s="1037"/>
      <c r="AM1454" s="1037"/>
      <c r="AN1454" s="1037"/>
      <c r="AO1454" s="1037"/>
      <c r="AP1454" s="1037"/>
    </row>
    <row r="1455" spans="1:42" s="226" customFormat="1" ht="12.75" customHeight="1">
      <c r="A1455" s="2060"/>
      <c r="B1455" s="1037"/>
      <c r="C1455" s="1037"/>
      <c r="D1455" s="1037"/>
      <c r="E1455" s="1037"/>
      <c r="F1455" s="1037"/>
      <c r="G1455" s="1037"/>
      <c r="H1455" s="1018"/>
      <c r="I1455" s="1037"/>
      <c r="J1455" s="1037"/>
      <c r="K1455" s="1037"/>
      <c r="L1455" s="1037"/>
      <c r="M1455" s="1037"/>
      <c r="N1455" s="1037"/>
      <c r="O1455" s="1037"/>
      <c r="P1455" s="1037"/>
      <c r="Q1455" s="1037"/>
      <c r="R1455" s="1037"/>
      <c r="S1455" s="1037"/>
      <c r="T1455" s="1037"/>
      <c r="U1455" s="1037"/>
      <c r="V1455" s="1037"/>
      <c r="W1455" s="1037"/>
      <c r="X1455" s="1037"/>
      <c r="Y1455" s="1037"/>
      <c r="Z1455" s="1037"/>
      <c r="AA1455" s="1037"/>
      <c r="AB1455" s="1037"/>
      <c r="AC1455" s="1037"/>
      <c r="AD1455" s="1037"/>
      <c r="AE1455" s="1037"/>
      <c r="AF1455" s="1037"/>
      <c r="AG1455" s="1037"/>
      <c r="AH1455" s="1037"/>
      <c r="AI1455" s="1037"/>
      <c r="AJ1455" s="1037"/>
      <c r="AK1455" s="1037"/>
      <c r="AL1455" s="1037"/>
      <c r="AM1455" s="1037"/>
      <c r="AN1455" s="1037"/>
      <c r="AO1455" s="1037"/>
      <c r="AP1455" s="1037"/>
    </row>
    <row r="1456" spans="1:42" s="226" customFormat="1" ht="12.75" customHeight="1">
      <c r="A1456" s="2060"/>
      <c r="B1456" s="1037"/>
      <c r="C1456" s="1037"/>
      <c r="D1456" s="1037"/>
      <c r="E1456" s="1037"/>
      <c r="F1456" s="1037"/>
      <c r="G1456" s="1037"/>
      <c r="H1456" s="1018"/>
      <c r="I1456" s="1037"/>
      <c r="J1456" s="1037"/>
      <c r="K1456" s="1037"/>
      <c r="L1456" s="1037"/>
      <c r="M1456" s="1037"/>
      <c r="N1456" s="1037"/>
      <c r="O1456" s="1037"/>
      <c r="P1456" s="1037"/>
      <c r="Q1456" s="1037"/>
      <c r="R1456" s="1037"/>
      <c r="S1456" s="1037"/>
      <c r="T1456" s="1037"/>
      <c r="U1456" s="1037"/>
      <c r="V1456" s="1037"/>
      <c r="W1456" s="1037"/>
      <c r="X1456" s="1037"/>
      <c r="Y1456" s="1037"/>
      <c r="Z1456" s="1037"/>
      <c r="AA1456" s="1037"/>
      <c r="AB1456" s="1037"/>
      <c r="AC1456" s="1037"/>
      <c r="AD1456" s="1037"/>
      <c r="AE1456" s="1037"/>
      <c r="AF1456" s="1037"/>
      <c r="AG1456" s="1037"/>
      <c r="AH1456" s="1037"/>
      <c r="AI1456" s="1037"/>
      <c r="AJ1456" s="1037"/>
      <c r="AK1456" s="1037"/>
      <c r="AL1456" s="1037"/>
      <c r="AM1456" s="1037"/>
      <c r="AN1456" s="1037"/>
      <c r="AO1456" s="1037"/>
      <c r="AP1456" s="1037"/>
    </row>
  </sheetData>
  <mergeCells count="26">
    <mergeCell ref="AO2:AO3"/>
    <mergeCell ref="AP2:AP3"/>
    <mergeCell ref="AG2:AG3"/>
    <mergeCell ref="AH2:AJ2"/>
    <mergeCell ref="AN2:AN3"/>
    <mergeCell ref="AD4:AG4"/>
    <mergeCell ref="AH4:AK4"/>
    <mergeCell ref="Z2:Z3"/>
    <mergeCell ref="AA2:AA3"/>
    <mergeCell ref="AB2:AB3"/>
    <mergeCell ref="B4:AB4"/>
    <mergeCell ref="J2:M2"/>
    <mergeCell ref="A1:I1"/>
    <mergeCell ref="A2:A3"/>
    <mergeCell ref="B2:B3"/>
    <mergeCell ref="C2:H2"/>
    <mergeCell ref="I2:I3"/>
    <mergeCell ref="J1:L1"/>
    <mergeCell ref="AK2:AK3"/>
    <mergeCell ref="AL2:AL3"/>
    <mergeCell ref="AM2:AM3"/>
    <mergeCell ref="AC2:AC3"/>
    <mergeCell ref="N2:Q2"/>
    <mergeCell ref="R2:U2"/>
    <mergeCell ref="V2:Y2"/>
    <mergeCell ref="AD2:AF2"/>
  </mergeCells>
  <pageMargins left="0.23622047244094491" right="0.23622047244094491" top="0.35433070866141736" bottom="0.23622047244094491" header="0.19685039370078741" footer="0.23622047244094491"/>
  <pageSetup paperSize="9" scale="87" orientation="landscape" r:id="rId1"/>
  <headerFooter>
    <oddHeader>&amp;Cзатраты вспомогательных производств факт 1 квартал 2013 года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4</vt:i4>
      </vt:variant>
    </vt:vector>
  </HeadingPairs>
  <TitlesOfParts>
    <vt:vector size="23" baseType="lpstr">
      <vt:lpstr>реал</vt:lpstr>
      <vt:lpstr>обор.КРС</vt:lpstr>
      <vt:lpstr>обор. ш-1</vt:lpstr>
      <vt:lpstr>обор.шув-2,3</vt:lpstr>
      <vt:lpstr>св-во Ш1 факт</vt:lpstr>
      <vt:lpstr>св-во Ш2,3 факт</vt:lpstr>
      <vt:lpstr>КРС факт</vt:lpstr>
      <vt:lpstr>пром.пр-ва факт</vt:lpstr>
      <vt:lpstr>вспом.пр-ва факт</vt:lpstr>
      <vt:lpstr>произв. факт</vt:lpstr>
      <vt:lpstr>сводная</vt:lpstr>
      <vt:lpstr>вспом. план</vt:lpstr>
      <vt:lpstr>КРС план</vt:lpstr>
      <vt:lpstr>св-во ш-1 план</vt:lpstr>
      <vt:lpstr>св-во шув-2 план</vt:lpstr>
      <vt:lpstr>пром.пр-во план</vt:lpstr>
      <vt:lpstr>произв. план</vt:lpstr>
      <vt:lpstr>БДДС</vt:lpstr>
      <vt:lpstr>БДР</vt:lpstr>
      <vt:lpstr>БДДС!Заголовки_для_печати</vt:lpstr>
      <vt:lpstr>'вспом. план'!Заголовки_для_печати</vt:lpstr>
      <vt:lpstr>'вспом.пр-ва факт'!Заголовки_для_печати</vt:lpstr>
      <vt:lpstr>'произв. факт'!Заголовки_для_печати</vt:lpstr>
    </vt:vector>
  </TitlesOfParts>
  <Company>sp4XJT36-B8T7W-9C3FV-9C9Y8-MJ226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Накваскина</dc:creator>
  <cp:lastModifiedBy>g-econom</cp:lastModifiedBy>
  <cp:lastPrinted>2018-03-29T08:43:37Z</cp:lastPrinted>
  <dcterms:created xsi:type="dcterms:W3CDTF">2007-03-20T06:41:17Z</dcterms:created>
  <dcterms:modified xsi:type="dcterms:W3CDTF">2019-04-09T12:48:31Z</dcterms:modified>
</cp:coreProperties>
</file>